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xWindow="0" yWindow="0" windowWidth="16384" windowHeight="8192" tabRatio="500" firstSheet="0" activeTab="0" autoFilterDateGrouping="1"/>
  </bookViews>
  <sheets>
    <sheet xmlns:r="http://schemas.openxmlformats.org/officeDocument/2006/relationships" name="List1" sheetId="1" state="visible" r:id="rId1"/>
  </sheets>
  <definedNames>
    <definedName name="Excel_BuiltIn__FilterDatabase" localSheetId="0" hidden="0" function="0" vbProcedure="0">List1!$B$1:$B$505</definedName>
  </definedNames>
  <calcPr calcId="124519" fullCalcOnLoad="1" refMode="A1" iterate="0" iterateCount="100" iterateDelta="0.001"/>
</workbook>
</file>

<file path=xl/styles.xml><?xml version="1.0" encoding="utf-8"?>
<styleSheet xmlns="http://schemas.openxmlformats.org/spreadsheetml/2006/main">
  <numFmts count="2">
    <numFmt numFmtId="164" formatCode="#,##0.00\ [$Kč-405];\-#,##0.00\ [$Kč-405]"/>
    <numFmt numFmtId="165" formatCode="#,##0.00&quot; Kč&quot;"/>
  </numFmts>
  <fonts count="14">
    <font>
      <name val="Calibri"/>
      <charset val="1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color rgb="FF000000"/>
      <sz val="9"/>
    </font>
    <font>
      <name val="Calibri"/>
      <charset val="1"/>
      <family val="2"/>
      <b val="1"/>
      <color rgb="FF000000"/>
      <sz val="12"/>
    </font>
    <font>
      <name val="Calibri"/>
      <charset val="1"/>
      <family val="2"/>
      <color rgb="FF000000"/>
      <sz val="9"/>
    </font>
    <font>
      <name val="Calibri"/>
      <charset val="1"/>
      <family val="2"/>
      <b val="1"/>
      <color rgb="FF069A2E"/>
      <sz val="12"/>
    </font>
    <font>
      <name val="Arial"/>
      <charset val="1"/>
      <family val="2"/>
      <b val="1"/>
      <color rgb="FF000000"/>
      <sz val="9"/>
    </font>
    <font>
      <name val="Calibri"/>
      <charset val="1"/>
      <family val="2"/>
      <color rgb="FFFF0000"/>
      <sz val="9"/>
    </font>
    <font>
      <name val="Calibri"/>
      <charset val="1"/>
      <family val="2"/>
      <sz val="9"/>
    </font>
    <font>
      <name val="Calibri"/>
      <charset val="1"/>
      <family val="2"/>
      <b val="1"/>
      <sz val="9"/>
    </font>
    <font>
      <name val="Arial"/>
      <charset val="1"/>
      <family val="2"/>
      <b val="1"/>
      <color rgb="FFFFFFFF"/>
      <sz val="9"/>
    </font>
    <font>
      <color rgb="00FF0000"/>
    </font>
  </fonts>
  <fills count="4">
    <fill>
      <patternFill/>
    </fill>
    <fill>
      <patternFill patternType="gray125"/>
    </fill>
    <fill>
      <patternFill patternType="solid">
        <fgColor rgb="FF008000"/>
        <bgColor rgb="FF069A2E"/>
      </patternFill>
    </fill>
    <fill>
      <patternFill patternType="solid">
        <fgColor rgb="0000FF00"/>
        <bgColor rgb="0000FF00"/>
      </patternFill>
    </fill>
  </fills>
  <borders count="14">
    <border>
      <left/>
      <right/>
      <top/>
      <bottom/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 style="thick">
        <color rgb="FF3C3C3C"/>
      </right>
      <top/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6">
    <xf numFmtId="0" fontId="0" fillId="0" borderId="0" applyAlignment="1">
      <alignment horizontal="general" vertical="bottom"/>
    </xf>
    <xf numFmtId="43" fontId="3" fillId="0" borderId="0"/>
    <xf numFmtId="41" fontId="3" fillId="0" borderId="0"/>
    <xf numFmtId="44" fontId="3" fillId="0" borderId="0"/>
    <xf numFmtId="42" fontId="3" fillId="0" borderId="0"/>
    <xf numFmtId="9" fontId="3" fillId="0" borderId="0"/>
  </cellStyleXfs>
  <cellXfs count="50">
    <xf numFmtId="0" fontId="0" fillId="0" borderId="0" applyAlignment="1" pivotButton="0" quotePrefix="0" xfId="0">
      <alignment horizontal="general" vertical="bottom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0" fillId="0" borderId="0" pivotButton="0" quotePrefix="0" xfId="0"/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0" fillId="0" borderId="5" pivotButton="0" quotePrefix="0" xfId="0"/>
    <xf numFmtId="0" fontId="0" fillId="0" borderId="7" pivotButton="0" quotePrefix="0" xfId="0"/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0" fontId="0" fillId="0" borderId="12" applyProtection="1" pivotButton="0" quotePrefix="0" xfId="0">
      <protection locked="1" hidden="1"/>
    </xf>
    <xf numFmtId="0" fontId="0" fillId="0" borderId="13" applyProtection="1" pivotButton="0" quotePrefix="0" xfId="0"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0" fillId="3" borderId="0" pivotButton="0" quotePrefix="0" xfId="0"/>
    <xf numFmtId="0" fontId="13" fillId="0" borderId="0" pivotButton="0" quotePrefix="0" xfId="0"/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69A2E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159480</colOff>
      <row>1</row>
      <rowOff>163080</rowOff>
    </from>
    <to>
      <col>1</col>
      <colOff>428040</colOff>
      <row>1</row>
      <rowOff>854640</rowOff>
    </to>
    <pic>
      <nvPicPr>
        <cNvPr id="0" name="Obrázok 1" descr=""/>
        <cNvPicPr/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59480" y="353520"/>
          <a:ext cx="949320" cy="691560"/>
        </a:xfrm>
        <a:prstGeom xmlns:a="http://schemas.openxmlformats.org/drawingml/2006/main" prst="rect">
          <avLst/>
        </a:prstGeom>
        <a:ln xmlns:a="http://schemas.openxmlformats.org/drawingml/2006/main" w="0">
          <a:noFill/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 filterMode="0">
    <outlinePr summaryBelow="1" summaryRight="1"/>
    <pageSetUpPr fitToPage="0"/>
  </sheetPr>
  <dimension ref="A1:K871"/>
  <sheetViews>
    <sheetView showFormulas="0" showGridLines="1" showRowColHeaders="1" showZeros="1" rightToLeft="0" tabSelected="1" showOutlineSymbols="1" defaultGridColor="1" view="normal" topLeftCell="A1" colorId="64" zoomScale="100" zoomScaleNormal="100" zoomScalePageLayoutView="100" workbookViewId="0">
      <selection pane="topLeft" activeCell="H1" activeCellId="0" sqref="H1"/>
    </sheetView>
  </sheetViews>
  <sheetFormatPr baseColWidth="8" defaultColWidth="8.921875" defaultRowHeight="15.8" zeroHeight="0" outlineLevelRow="0"/>
  <cols>
    <col width="9.66" customWidth="1" style="22" min="1" max="1"/>
    <col width="7.09" customWidth="1" style="23" min="2" max="2"/>
    <col width="50.95" customWidth="1" style="24" min="3" max="3"/>
    <col hidden="1" width="9.09" customWidth="1" style="24" min="4" max="4"/>
    <col hidden="1" width="24.23" customWidth="1" style="24" min="5" max="5"/>
    <col width="22.53" customWidth="1" style="24" min="6" max="6"/>
    <col width="15.58" customWidth="1" style="25" min="7" max="7"/>
    <col width="15.15" customWidth="1" style="25" min="8" max="8"/>
    <col width="4.8" customWidth="1" style="24" min="9" max="9"/>
    <col width="11.66" customWidth="1" style="25" min="10" max="10"/>
    <col width="8.92" customWidth="1" style="24" min="11" max="257"/>
  </cols>
  <sheetData>
    <row r="1" ht="15" customHeight="1" s="26">
      <c r="A1" s="27" t="n"/>
      <c r="B1" s="28" t="n"/>
      <c r="C1" s="29" t="inlineStr">
        <is>
          <t>Objednávkový formulář Milota - velkoobchod</t>
        </is>
      </c>
      <c r="D1" s="30" t="n"/>
      <c r="E1" s="30" t="n"/>
      <c r="F1" s="29" t="inlineStr">
        <is>
          <t>Objednávka celkem za</t>
        </is>
      </c>
      <c r="G1" s="31">
        <f>SUM(H4:H872)</f>
        <v/>
      </c>
      <c r="H1" s="31">
        <f>SUM(J4:J872)</f>
        <v/>
      </c>
      <c r="I1" s="30" t="n"/>
      <c r="J1" s="32" t="n"/>
      <c r="K1" s="33" t="n"/>
    </row>
    <row r="2" ht="80.25" customHeight="1" s="26">
      <c r="A2" s="34" t="n"/>
      <c r="B2" s="35" t="inlineStr">
        <is>
          <t>x</t>
        </is>
      </c>
      <c r="C2" s="36" t="inlineStr">
        <is>
          <t>Odběratel (stačí napsat IČO anebo jméno):</t>
        </is>
      </c>
      <c r="D2" s="37" t="n"/>
      <c r="E2" s="37" t="n"/>
      <c r="F2" s="38" t="inlineStr">
        <is>
          <t>Vysvětlivky:
1.Červeně označené zboží není momentálně skladem a nebude dodáno.
2.Počty kusů zapisujte pouze do sloupce "B" , ten služí pro součet položek a výslednou cenu.
3.Akuální objednávkový formulář včetně aktuálně nedostupných výrobků je denně ke stažení na weboých stránkách www.milota.com.</t>
        </is>
      </c>
      <c r="G2" s="39" t="n"/>
      <c r="H2" s="39" t="n"/>
      <c r="I2" s="39" t="n"/>
      <c r="J2" s="39" t="n"/>
      <c r="K2" s="40" t="n"/>
    </row>
    <row r="3" ht="15.8" customHeight="1" s="26">
      <c r="A3" s="41" t="inlineStr">
        <is>
          <t>KOD</t>
        </is>
      </c>
      <c r="B3" s="42" t="inlineStr">
        <is>
          <t>Obj.ks</t>
        </is>
      </c>
      <c r="C3" s="43" t="inlineStr">
        <is>
          <t xml:space="preserve">POPIS </t>
        </is>
      </c>
      <c r="D3" s="44" t="n"/>
      <c r="E3" s="45" t="n"/>
      <c r="F3" s="43" t="inlineStr">
        <is>
          <t>EAN</t>
        </is>
      </c>
      <c r="G3" s="46" t="inlineStr">
        <is>
          <t>bez DPH</t>
        </is>
      </c>
      <c r="H3" s="46" t="inlineStr">
        <is>
          <t>celk. bez DPH</t>
        </is>
      </c>
      <c r="I3" s="47" t="inlineStr">
        <is>
          <t>DPH</t>
        </is>
      </c>
      <c r="J3" s="46" t="inlineStr">
        <is>
          <t>celk. vč DPH</t>
        </is>
      </c>
      <c r="K3" s="46" t="n"/>
    </row>
    <row r="4" ht="12.8" customHeight="1" s="26">
      <c r="A4" s="48" t="inlineStr">
        <is>
          <t>Bylinné tinktury</t>
        </is>
      </c>
      <c r="B4" s="48" t="inlineStr"/>
      <c r="C4" s="48" t="inlineStr"/>
      <c r="D4" s="48" t="inlineStr"/>
      <c r="E4" s="48" t="inlineStr"/>
      <c r="F4" s="48" t="inlineStr"/>
      <c r="G4" s="48" t="inlineStr"/>
      <c r="H4" s="48" t="inlineStr"/>
      <c r="I4" s="48" t="inlineStr"/>
      <c r="J4" s="48" t="inlineStr"/>
      <c r="K4" s="48" t="n"/>
    </row>
    <row r="5" ht="12.8" customHeight="1" s="26">
      <c r="A5" s="49" t="inlineStr">
        <is>
          <t>99113</t>
        </is>
      </c>
      <c r="B5" s="49" t="inlineStr">
        <is>
          <t>-</t>
        </is>
      </c>
      <c r="C5" s="49" t="inlineStr">
        <is>
          <t>Rýma a nachlazení 100ml ks</t>
        </is>
      </c>
      <c r="D5" s="49" t="n"/>
      <c r="E5" s="49" t="n"/>
      <c r="F5" s="49" t="inlineStr">
        <is>
          <t>8594056690398</t>
        </is>
      </c>
      <c r="G5" s="49" t="n">
        <v>123.97</v>
      </c>
      <c r="H5" s="49" t="n"/>
      <c r="I5" s="49" t="n">
        <v>21</v>
      </c>
      <c r="J5" s="49" t="n"/>
      <c r="K5" s="49" t="n"/>
    </row>
    <row r="6" ht="12.8" customHeight="1" s="26">
      <c r="A6" t="inlineStr">
        <is>
          <t>99114</t>
        </is>
      </c>
      <c r="B6" t="n">
        <v>0</v>
      </c>
      <c r="C6" t="inlineStr">
        <is>
          <t>Průdušková 100ml ks</t>
        </is>
      </c>
      <c r="F6" t="inlineStr">
        <is>
          <t>8594056690190</t>
        </is>
      </c>
      <c r="G6" t="n">
        <v>123.97</v>
      </c>
      <c r="H6">
        <f>G6 * B6</f>
        <v/>
      </c>
      <c r="I6" t="n">
        <v>21</v>
      </c>
      <c r="J6">
        <f>150 * B6</f>
        <v/>
      </c>
    </row>
    <row r="7" ht="12.8" customHeight="1" s="26">
      <c r="A7" t="inlineStr">
        <is>
          <t>99115</t>
        </is>
      </c>
      <c r="B7" t="n">
        <v>0</v>
      </c>
      <c r="C7" t="inlineStr">
        <is>
          <t>Dobré trávení 100ml ks</t>
        </is>
      </c>
      <c r="F7" t="inlineStr">
        <is>
          <t>8594056690411</t>
        </is>
      </c>
      <c r="G7" t="n">
        <v>123.97</v>
      </c>
      <c r="H7">
        <f>G7 * B7</f>
        <v/>
      </c>
      <c r="I7" t="n">
        <v>21</v>
      </c>
      <c r="J7">
        <f>150 * B7</f>
        <v/>
      </c>
    </row>
    <row r="8" ht="12.8" customHeight="1" s="26">
      <c r="A8" t="inlineStr">
        <is>
          <t>99116</t>
        </is>
      </c>
      <c r="B8" t="n">
        <v>0</v>
      </c>
      <c r="C8" t="inlineStr">
        <is>
          <t>Zklidnění dýchacích cest 100ml ks</t>
        </is>
      </c>
      <c r="F8" t="inlineStr">
        <is>
          <t>8594056690428</t>
        </is>
      </c>
      <c r="G8" t="n">
        <v>123.97</v>
      </c>
      <c r="H8">
        <f>G8 * B8</f>
        <v/>
      </c>
      <c r="I8" t="n">
        <v>21</v>
      </c>
      <c r="J8">
        <f>150 * B8</f>
        <v/>
      </c>
    </row>
    <row r="9" ht="12.8" customHeight="1" s="26">
      <c r="A9" t="inlineStr">
        <is>
          <t>99117</t>
        </is>
      </c>
      <c r="B9" t="n">
        <v>0</v>
      </c>
      <c r="C9" t="inlineStr">
        <is>
          <t>Hořcová 100ml ks</t>
        </is>
      </c>
      <c r="F9" t="inlineStr">
        <is>
          <t>8594056690435</t>
        </is>
      </c>
      <c r="G9" t="n">
        <v>123.97</v>
      </c>
      <c r="H9">
        <f>G9 * B9</f>
        <v/>
      </c>
      <c r="I9" t="n">
        <v>21</v>
      </c>
      <c r="J9">
        <f>150 * B9</f>
        <v/>
      </c>
    </row>
    <row r="10" ht="15.75" customHeight="1" s="26">
      <c r="A10" t="inlineStr">
        <is>
          <t>99118</t>
        </is>
      </c>
      <c r="B10" t="n">
        <v>0</v>
      </c>
      <c r="C10" t="inlineStr">
        <is>
          <t>Pročišťující s ostropestřcem 100ml ks</t>
        </is>
      </c>
      <c r="F10" t="inlineStr">
        <is>
          <t>8594056690442</t>
        </is>
      </c>
      <c r="G10" t="n">
        <v>123.97</v>
      </c>
      <c r="H10">
        <f>G10 * B10</f>
        <v/>
      </c>
      <c r="I10" t="n">
        <v>21</v>
      </c>
      <c r="J10">
        <f>150 * B10</f>
        <v/>
      </c>
    </row>
    <row r="11" ht="12.8" customHeight="1" s="26">
      <c r="A11" t="inlineStr">
        <is>
          <t>99119</t>
        </is>
      </c>
      <c r="B11" t="n">
        <v>0</v>
      </c>
      <c r="C11" t="inlineStr">
        <is>
          <t>Menopauza 100ml ks</t>
        </is>
      </c>
      <c r="F11" t="inlineStr">
        <is>
          <t>8594056690459</t>
        </is>
      </c>
      <c r="G11" t="n">
        <v>123.97</v>
      </c>
      <c r="H11">
        <f>G11 * B11</f>
        <v/>
      </c>
      <c r="I11" t="n">
        <v>21</v>
      </c>
      <c r="J11">
        <f>150 * B11</f>
        <v/>
      </c>
    </row>
    <row r="12" ht="12.8" customHeight="1" s="26">
      <c r="A12" t="inlineStr">
        <is>
          <t>99120</t>
        </is>
      </c>
      <c r="B12" t="n">
        <v>0</v>
      </c>
      <c r="C12" t="inlineStr">
        <is>
          <t>Imunostim 100ml ks</t>
        </is>
      </c>
      <c r="F12" t="inlineStr">
        <is>
          <t>8594056690466</t>
        </is>
      </c>
      <c r="G12" t="n">
        <v>123.97</v>
      </c>
      <c r="H12">
        <f>G12 * B12</f>
        <v/>
      </c>
      <c r="I12" t="n">
        <v>21</v>
      </c>
      <c r="J12">
        <f>150 * B12</f>
        <v/>
      </c>
    </row>
    <row r="13" ht="12.8" customHeight="1" s="26">
      <c r="A13" t="inlineStr">
        <is>
          <t>99121</t>
        </is>
      </c>
      <c r="B13" t="n">
        <v>0</v>
      </c>
      <c r="C13" t="inlineStr">
        <is>
          <t>Detoxikační 100ml ks</t>
        </is>
      </c>
      <c r="F13" t="inlineStr">
        <is>
          <t>8594056690473</t>
        </is>
      </c>
      <c r="G13" t="n">
        <v>123.97</v>
      </c>
      <c r="H13">
        <f>G13 * B13</f>
        <v/>
      </c>
      <c r="I13" t="n">
        <v>21</v>
      </c>
      <c r="J13">
        <f>150 * B13</f>
        <v/>
      </c>
    </row>
    <row r="14" ht="12.8" customHeight="1" s="26">
      <c r="A14" t="inlineStr">
        <is>
          <t>99122</t>
        </is>
      </c>
      <c r="B14" t="n">
        <v>0</v>
      </c>
      <c r="C14" t="inlineStr">
        <is>
          <t>Upravující menstruaci 100ml ks</t>
        </is>
      </c>
      <c r="F14" t="inlineStr">
        <is>
          <t>8594056690480</t>
        </is>
      </c>
      <c r="G14" t="n">
        <v>123.97</v>
      </c>
      <c r="H14">
        <f>G14 * B14</f>
        <v/>
      </c>
      <c r="I14" t="n">
        <v>21</v>
      </c>
      <c r="J14">
        <f>150 * B14</f>
        <v/>
      </c>
    </row>
    <row r="15" ht="12.8" customHeight="1" s="26">
      <c r="A15" t="inlineStr">
        <is>
          <t>99123</t>
        </is>
      </c>
      <c r="B15" t="n">
        <v>0</v>
      </c>
      <c r="C15" t="inlineStr">
        <is>
          <t>Urologická 100ml ks</t>
        </is>
      </c>
      <c r="F15" t="inlineStr">
        <is>
          <t>8594056690497</t>
        </is>
      </c>
      <c r="G15" t="n">
        <v>123.97</v>
      </c>
      <c r="H15">
        <f>G15 * B15</f>
        <v/>
      </c>
      <c r="I15" t="n">
        <v>21</v>
      </c>
      <c r="J15">
        <f>150 * B15</f>
        <v/>
      </c>
    </row>
    <row r="16" ht="12.8" customHeight="1" s="26">
      <c r="A16" t="inlineStr">
        <is>
          <t>99124</t>
        </is>
      </c>
      <c r="B16" t="n">
        <v>0</v>
      </c>
      <c r="C16" t="inlineStr">
        <is>
          <t>Mumiová 100ml ks</t>
        </is>
      </c>
      <c r="F16" t="inlineStr">
        <is>
          <t>8594056690503</t>
        </is>
      </c>
      <c r="G16" t="n">
        <v>123.97</v>
      </c>
      <c r="H16">
        <f>G16 * B16</f>
        <v/>
      </c>
      <c r="I16" t="n">
        <v>21</v>
      </c>
      <c r="J16">
        <f>150 * B16</f>
        <v/>
      </c>
    </row>
    <row r="17" ht="12.8" customHeight="1" s="26">
      <c r="A17" s="49" t="inlineStr">
        <is>
          <t>99125</t>
        </is>
      </c>
      <c r="B17" s="49" t="inlineStr">
        <is>
          <t>-</t>
        </is>
      </c>
      <c r="C17" s="49" t="inlineStr">
        <is>
          <t>Jaterní 100ml ks</t>
        </is>
      </c>
      <c r="D17" s="49" t="n"/>
      <c r="E17" s="49" t="n"/>
      <c r="F17" s="49" t="inlineStr">
        <is>
          <t>8594056690510</t>
        </is>
      </c>
      <c r="G17" s="49" t="n">
        <v>123.97</v>
      </c>
      <c r="H17" s="49" t="n"/>
      <c r="I17" s="49" t="n">
        <v>21</v>
      </c>
      <c r="J17" s="49" t="n"/>
      <c r="K17" s="49" t="n"/>
    </row>
    <row r="18" ht="12.8" customHeight="1" s="26">
      <c r="A18" t="inlineStr">
        <is>
          <t>99126</t>
        </is>
      </c>
      <c r="B18" t="n">
        <v>0</v>
      </c>
      <c r="C18" t="inlineStr">
        <is>
          <t>Protistresová 100ml ks</t>
        </is>
      </c>
      <c r="F18" t="inlineStr">
        <is>
          <t>8594056690527</t>
        </is>
      </c>
      <c r="G18" t="n">
        <v>123.97</v>
      </c>
      <c r="H18">
        <f>G18 * B18</f>
        <v/>
      </c>
      <c r="I18" t="n">
        <v>21</v>
      </c>
      <c r="J18">
        <f>150 * B18</f>
        <v/>
      </c>
    </row>
    <row r="19" ht="12.8" customHeight="1" s="26">
      <c r="A19" t="inlineStr">
        <is>
          <t>99127</t>
        </is>
      </c>
      <c r="B19" t="n">
        <v>0</v>
      </c>
      <c r="C19" t="inlineStr">
        <is>
          <t>Žaludeční 100ml ks</t>
        </is>
      </c>
      <c r="F19" t="inlineStr">
        <is>
          <t>8594056690534</t>
        </is>
      </c>
      <c r="G19" t="n">
        <v>123.97</v>
      </c>
      <c r="H19">
        <f>G19 * B19</f>
        <v/>
      </c>
      <c r="I19" t="n">
        <v>21</v>
      </c>
      <c r="J19">
        <f>150 * B19</f>
        <v/>
      </c>
    </row>
    <row r="20" ht="12.8" customHeight="1" s="26">
      <c r="A20" t="inlineStr">
        <is>
          <t>99128</t>
        </is>
      </c>
      <c r="B20" t="n">
        <v>0</v>
      </c>
      <c r="C20" t="inlineStr">
        <is>
          <t>Echinacea Purpurea 100ml ks</t>
        </is>
      </c>
      <c r="F20" t="inlineStr">
        <is>
          <t>8594056690374</t>
        </is>
      </c>
      <c r="G20" t="n">
        <v>123.97</v>
      </c>
      <c r="H20">
        <f>G20 * B20</f>
        <v/>
      </c>
      <c r="I20" t="n">
        <v>21</v>
      </c>
      <c r="J20">
        <f>150 * B20</f>
        <v/>
      </c>
    </row>
    <row r="21" ht="12.8" customHeight="1" s="26">
      <c r="A21" t="inlineStr">
        <is>
          <t>99129</t>
        </is>
      </c>
      <c r="B21" t="n">
        <v>0</v>
      </c>
      <c r="C21" t="inlineStr">
        <is>
          <t>Zdravý spánek 100ml ks</t>
        </is>
      </c>
      <c r="F21" t="inlineStr">
        <is>
          <t>8594056691258</t>
        </is>
      </c>
      <c r="G21" t="n">
        <v>123.97</v>
      </c>
      <c r="H21">
        <f>G21 * B21</f>
        <v/>
      </c>
      <c r="I21" t="n">
        <v>21</v>
      </c>
      <c r="J21">
        <f>150 * B21</f>
        <v/>
      </c>
    </row>
    <row r="22" ht="12.8" customHeight="1" s="26">
      <c r="A22" t="inlineStr">
        <is>
          <t>99130</t>
        </is>
      </c>
      <c r="B22" t="n">
        <v>0</v>
      </c>
      <c r="C22" t="inlineStr">
        <is>
          <t>Lichořeřišnice větší 100ml ks</t>
        </is>
      </c>
      <c r="F22" t="inlineStr">
        <is>
          <t>8594056691265</t>
        </is>
      </c>
      <c r="G22" t="n">
        <v>123.97</v>
      </c>
      <c r="H22">
        <f>G22 * B22</f>
        <v/>
      </c>
      <c r="I22" t="n">
        <v>21</v>
      </c>
      <c r="J22">
        <f>150 * B22</f>
        <v/>
      </c>
    </row>
    <row r="23" ht="12.8" customHeight="1" s="26">
      <c r="A23" t="inlineStr">
        <is>
          <t>99131</t>
        </is>
      </c>
      <c r="B23" t="n">
        <v>0</v>
      </c>
      <c r="C23" t="inlineStr">
        <is>
          <t>Žlučník pročištění 100ml ks</t>
        </is>
      </c>
      <c r="F23" t="inlineStr">
        <is>
          <t>8594056691272</t>
        </is>
      </c>
      <c r="G23" t="n">
        <v>123.97</v>
      </c>
      <c r="H23">
        <f>G23 * B23</f>
        <v/>
      </c>
      <c r="I23" t="n">
        <v>21</v>
      </c>
      <c r="J23">
        <f>150 * B23</f>
        <v/>
      </c>
    </row>
    <row r="24" ht="12.8" customHeight="1" s="26">
      <c r="A24" t="inlineStr">
        <is>
          <t>99132</t>
        </is>
      </c>
      <c r="B24" t="n">
        <v>0</v>
      </c>
      <c r="C24" t="inlineStr">
        <is>
          <t>Ledviny - močové cesty 100ml ks</t>
        </is>
      </c>
      <c r="F24" t="inlineStr">
        <is>
          <t>8594056691289</t>
        </is>
      </c>
      <c r="G24" t="n">
        <v>123.97</v>
      </c>
      <c r="H24">
        <f>G24 * B24</f>
        <v/>
      </c>
      <c r="I24" t="n">
        <v>21</v>
      </c>
      <c r="J24">
        <f>150 * B24</f>
        <v/>
      </c>
    </row>
    <row r="25" ht="12.8" customHeight="1" s="26">
      <c r="A25" s="48" t="inlineStr">
        <is>
          <t>Potraviny, Cikorka (Čekanková káva) Milotka</t>
        </is>
      </c>
      <c r="B25" s="48" t="inlineStr"/>
      <c r="C25" s="48" t="inlineStr"/>
      <c r="D25" s="48" t="inlineStr"/>
      <c r="E25" s="48" t="inlineStr"/>
      <c r="F25" s="48" t="inlineStr"/>
      <c r="G25" s="48" t="inlineStr"/>
      <c r="H25" s="48" t="inlineStr"/>
      <c r="I25" s="48" t="inlineStr"/>
      <c r="J25" s="48" t="inlineStr"/>
      <c r="K25" s="48" t="n"/>
    </row>
    <row r="26" ht="12.8" customHeight="1" s="26">
      <c r="A26" t="inlineStr">
        <is>
          <t>98101</t>
        </is>
      </c>
      <c r="B26" t="n">
        <v>0</v>
      </c>
      <c r="C26" t="inlineStr">
        <is>
          <t>Cikorka od miloty (čistý kořen) 100g(20x5g) ks</t>
        </is>
      </c>
      <c r="F26" t="inlineStr">
        <is>
          <t>8594056691869</t>
        </is>
      </c>
      <c r="G26" t="n">
        <v>35.71</v>
      </c>
      <c r="H26">
        <f>G26 * B26</f>
        <v/>
      </c>
      <c r="I26" t="n">
        <v>12</v>
      </c>
      <c r="J26">
        <f>40 * B26</f>
        <v/>
      </c>
    </row>
    <row r="27" ht="12.8" customHeight="1" s="26">
      <c r="A27" t="inlineStr">
        <is>
          <t>98102</t>
        </is>
      </c>
      <c r="B27" t="n">
        <v>0</v>
      </c>
      <c r="C27" t="inlineStr">
        <is>
          <t>Cikorka s meduňkou a levandulí 100g(20x5g) ks</t>
        </is>
      </c>
      <c r="F27" t="inlineStr">
        <is>
          <t>8594056690343</t>
        </is>
      </c>
      <c r="G27" t="n">
        <v>39.29</v>
      </c>
      <c r="H27">
        <f>G27 * B27</f>
        <v/>
      </c>
      <c r="I27" t="n">
        <v>12</v>
      </c>
      <c r="J27">
        <f>44 * B27</f>
        <v/>
      </c>
    </row>
    <row r="28" ht="12.8" customHeight="1" s="26">
      <c r="A28" t="inlineStr">
        <is>
          <t>98103</t>
        </is>
      </c>
      <c r="B28" t="n">
        <v>0</v>
      </c>
      <c r="C28" t="inlineStr">
        <is>
          <t>Cikorka se skořicí 100g(20x5g) ks</t>
        </is>
      </c>
      <c r="F28" t="inlineStr">
        <is>
          <t>8594056691067</t>
        </is>
      </c>
      <c r="G28" t="n">
        <v>39.29</v>
      </c>
      <c r="H28">
        <f>G28 * B28</f>
        <v/>
      </c>
      <c r="I28" t="n">
        <v>12</v>
      </c>
      <c r="J28">
        <f>44 * B28</f>
        <v/>
      </c>
    </row>
    <row r="29" ht="12.8" customHeight="1" s="26">
      <c r="A29" t="inlineStr">
        <is>
          <t>98104</t>
        </is>
      </c>
      <c r="B29" t="n">
        <v>0</v>
      </c>
      <c r="C29" t="inlineStr">
        <is>
          <t>Cikorka s ostropestřcem 100g(20x5g) ks</t>
        </is>
      </c>
      <c r="F29" t="inlineStr">
        <is>
          <t>8594056691074</t>
        </is>
      </c>
      <c r="G29" t="n">
        <v>39.29</v>
      </c>
      <c r="H29">
        <f>G29 * B29</f>
        <v/>
      </c>
      <c r="I29" t="n">
        <v>12</v>
      </c>
      <c r="J29">
        <f>44 * B29</f>
        <v/>
      </c>
    </row>
    <row r="30" ht="12.8" customHeight="1" s="26">
      <c r="A30" s="48" t="inlineStr">
        <is>
          <t>Potraviny, Psyllium husk 99% přírodní vláknina</t>
        </is>
      </c>
      <c r="B30" s="48" t="inlineStr"/>
      <c r="C30" s="48" t="inlineStr"/>
      <c r="D30" s="48" t="inlineStr"/>
      <c r="E30" s="48" t="inlineStr"/>
      <c r="F30" s="48" t="inlineStr"/>
      <c r="G30" s="48" t="inlineStr"/>
      <c r="H30" s="48" t="inlineStr"/>
      <c r="I30" s="48" t="inlineStr"/>
      <c r="J30" s="48" t="inlineStr"/>
      <c r="K30" s="48" t="n"/>
    </row>
    <row r="31" ht="12.8" customHeight="1" s="26">
      <c r="A31" t="inlineStr">
        <is>
          <t>99804</t>
        </is>
      </c>
      <c r="B31" t="n">
        <v>0</v>
      </c>
      <c r="C31" t="inlineStr">
        <is>
          <t>Psyllium 98% čistota přírodní vláknina 100g ks</t>
        </is>
      </c>
      <c r="F31" t="inlineStr">
        <is>
          <t>8594056691012</t>
        </is>
      </c>
      <c r="G31" t="n">
        <v>90.18000000000001</v>
      </c>
      <c r="H31">
        <f>G31 * B31</f>
        <v/>
      </c>
      <c r="I31" t="n">
        <v>12</v>
      </c>
      <c r="J31">
        <f>101 * B31</f>
        <v/>
      </c>
    </row>
    <row r="32" ht="12.8" customHeight="1" s="26">
      <c r="A32" t="inlineStr">
        <is>
          <t>99805</t>
        </is>
      </c>
      <c r="B32" t="n">
        <v>0</v>
      </c>
      <c r="C32" t="inlineStr">
        <is>
          <t>Psyllium 98% čistota přírodní vláknina 200g ks</t>
        </is>
      </c>
      <c r="F32" t="inlineStr">
        <is>
          <t>8594056691029</t>
        </is>
      </c>
      <c r="G32" t="n">
        <v>124.11</v>
      </c>
      <c r="H32">
        <f>G32 * B32</f>
        <v/>
      </c>
      <c r="I32" t="n">
        <v>12</v>
      </c>
      <c r="J32">
        <f>139 * B32</f>
        <v/>
      </c>
    </row>
    <row r="33" ht="12.8" customHeight="1" s="26">
      <c r="A33" s="49" t="inlineStr">
        <is>
          <t>99809</t>
        </is>
      </c>
      <c r="B33" s="49" t="inlineStr">
        <is>
          <t>-</t>
        </is>
      </c>
      <c r="C33" s="49" t="inlineStr">
        <is>
          <t>Psyllium malina a černý rybíz 100g 98% čistota ks</t>
        </is>
      </c>
      <c r="D33" s="49" t="n"/>
      <c r="E33" s="49" t="n"/>
      <c r="F33" s="49" t="inlineStr">
        <is>
          <t>8594056696246</t>
        </is>
      </c>
      <c r="G33" s="49" t="n">
        <v>93.75</v>
      </c>
      <c r="H33" s="49" t="n"/>
      <c r="I33" s="49" t="n">
        <v>12</v>
      </c>
      <c r="J33" s="49" t="n"/>
      <c r="K33" s="49" t="n"/>
    </row>
    <row r="34" ht="12.8" customHeight="1" s="26">
      <c r="A34" t="inlineStr">
        <is>
          <t>99814</t>
        </is>
      </c>
      <c r="B34" t="n">
        <v>0</v>
      </c>
      <c r="C34" t="inlineStr">
        <is>
          <t>Psyllium cherry 100g 98% čistota ks</t>
        </is>
      </c>
      <c r="F34" t="inlineStr">
        <is>
          <t>8594056696253</t>
        </is>
      </c>
      <c r="G34" t="n">
        <v>93.75</v>
      </c>
      <c r="H34">
        <f>G34 * B34</f>
        <v/>
      </c>
      <c r="I34" t="n">
        <v>12</v>
      </c>
      <c r="J34">
        <f>105 * B34</f>
        <v/>
      </c>
    </row>
    <row r="35" ht="12.8" customHeight="1" s="26">
      <c r="A35" t="inlineStr">
        <is>
          <t>99815</t>
        </is>
      </c>
      <c r="B35" t="n">
        <v>0</v>
      </c>
      <c r="C35" t="inlineStr">
        <is>
          <t>Psyllium Ice tea lemon 100g 98% čistota ks</t>
        </is>
      </c>
      <c r="F35" t="inlineStr">
        <is>
          <t>8594056696260</t>
        </is>
      </c>
      <c r="G35" t="n">
        <v>93.75</v>
      </c>
      <c r="H35">
        <f>G35 * B35</f>
        <v/>
      </c>
      <c r="I35" t="n">
        <v>12</v>
      </c>
      <c r="J35">
        <f>105 * B35</f>
        <v/>
      </c>
    </row>
    <row r="36" ht="12.8" customHeight="1" s="26">
      <c r="A36" s="48" t="inlineStr">
        <is>
          <t>Potraviny, Superfoods, potraviny nového typu, atd.</t>
        </is>
      </c>
      <c r="B36" s="48" t="inlineStr"/>
      <c r="C36" s="48" t="inlineStr"/>
      <c r="D36" s="48" t="inlineStr"/>
      <c r="E36" s="48" t="inlineStr"/>
      <c r="F36" s="48" t="inlineStr"/>
      <c r="G36" s="48" t="inlineStr"/>
      <c r="H36" s="48" t="inlineStr"/>
      <c r="I36" s="48" t="inlineStr"/>
      <c r="J36" s="48" t="inlineStr"/>
      <c r="K36" s="48" t="n"/>
    </row>
    <row r="37" ht="12.8" customHeight="1" s="26">
      <c r="A37" t="inlineStr">
        <is>
          <t>110001</t>
        </is>
      </c>
      <c r="B37" t="n">
        <v>0</v>
      </c>
      <c r="C37" t="inlineStr">
        <is>
          <t>Cannamil Konopí semínko natural 180g ks</t>
        </is>
      </c>
      <c r="F37" t="inlineStr">
        <is>
          <t>8594056696130</t>
        </is>
      </c>
      <c r="G37" t="n">
        <v>33.04</v>
      </c>
      <c r="H37">
        <f>G37 * B37</f>
        <v/>
      </c>
      <c r="I37" t="n">
        <v>12</v>
      </c>
      <c r="J37">
        <f>37 * B37</f>
        <v/>
      </c>
    </row>
    <row r="38" ht="12.8" customHeight="1" s="26">
      <c r="A38" s="49" t="inlineStr">
        <is>
          <t>110003</t>
        </is>
      </c>
      <c r="B38" s="49" t="inlineStr">
        <is>
          <t>-</t>
        </is>
      </c>
      <c r="C38" s="49" t="inlineStr">
        <is>
          <t>Cannamil Konopí semínko loupané 90g ks</t>
        </is>
      </c>
      <c r="D38" s="49" t="n"/>
      <c r="E38" s="49" t="n"/>
      <c r="F38" s="49" t="inlineStr">
        <is>
          <t>8594056696154</t>
        </is>
      </c>
      <c r="G38" s="49" t="n">
        <v>64.29000000000001</v>
      </c>
      <c r="H38" s="49" t="n"/>
      <c r="I38" s="49" t="n">
        <v>12</v>
      </c>
      <c r="J38" s="49" t="n"/>
      <c r="K38" s="49" t="n"/>
    </row>
    <row r="39" ht="12.8" customHeight="1" s="26">
      <c r="A39" s="49" t="inlineStr">
        <is>
          <t>94217</t>
        </is>
      </c>
      <c r="B39" s="49" t="inlineStr">
        <is>
          <t>-</t>
        </is>
      </c>
      <c r="C39" s="49" t="inlineStr">
        <is>
          <t>Quinoa bílá semeno 150g ks</t>
        </is>
      </c>
      <c r="D39" s="49" t="n"/>
      <c r="E39" s="49" t="n"/>
      <c r="F39" s="49" t="inlineStr">
        <is>
          <t>8594056695041</t>
        </is>
      </c>
      <c r="G39" s="49" t="n">
        <v>19.64</v>
      </c>
      <c r="H39" s="49" t="n"/>
      <c r="I39" s="49" t="n">
        <v>12</v>
      </c>
      <c r="J39" s="49" t="n"/>
      <c r="K39" s="49" t="n"/>
    </row>
    <row r="40" ht="12.8" customHeight="1" s="26">
      <c r="A40" s="49" t="inlineStr">
        <is>
          <t>94218</t>
        </is>
      </c>
      <c r="B40" s="49" t="inlineStr">
        <is>
          <t>-</t>
        </is>
      </c>
      <c r="C40" s="49" t="inlineStr">
        <is>
          <t>Slzovka obecná plod 150g ks</t>
        </is>
      </c>
      <c r="D40" s="49" t="n"/>
      <c r="E40" s="49" t="n"/>
      <c r="F40" s="49" t="inlineStr">
        <is>
          <t>8594056695003</t>
        </is>
      </c>
      <c r="G40" s="49" t="n">
        <v>50.89</v>
      </c>
      <c r="H40" s="49" t="n"/>
      <c r="I40" s="49" t="n">
        <v>12</v>
      </c>
      <c r="J40" s="49" t="n"/>
      <c r="K40" s="49" t="n"/>
    </row>
    <row r="41" ht="12.8" customHeight="1" s="26">
      <c r="A41" t="inlineStr">
        <is>
          <t>94219</t>
        </is>
      </c>
      <c r="B41" t="n">
        <v>0</v>
      </c>
      <c r="C41" t="inlineStr">
        <is>
          <t>Chia seeds 150g ks</t>
        </is>
      </c>
      <c r="F41" t="inlineStr">
        <is>
          <t>8594056695027</t>
        </is>
      </c>
      <c r="G41" t="n">
        <v>41.96</v>
      </c>
      <c r="H41">
        <f>G41 * B41</f>
        <v/>
      </c>
      <c r="I41" t="n">
        <v>12</v>
      </c>
      <c r="J41">
        <f>47 * B41</f>
        <v/>
      </c>
    </row>
    <row r="42" ht="12.8" customHeight="1" s="26">
      <c r="A42" t="inlineStr">
        <is>
          <t>99813</t>
        </is>
      </c>
      <c r="B42" t="n">
        <v>0</v>
      </c>
      <c r="C42" t="inlineStr">
        <is>
          <t>Goji - kustovnice čínská plod 100g ks</t>
        </is>
      </c>
      <c r="F42" t="inlineStr">
        <is>
          <t>8594056696161</t>
        </is>
      </c>
      <c r="G42" t="n">
        <v>51.79</v>
      </c>
      <c r="H42">
        <f>G42 * B42</f>
        <v/>
      </c>
      <c r="I42" t="n">
        <v>12</v>
      </c>
      <c r="J42">
        <f>58 * B42</f>
        <v/>
      </c>
    </row>
    <row r="43" ht="12.8" customHeight="1" s="26">
      <c r="A43" s="48" t="inlineStr">
        <is>
          <t>Suroviny sypané, Bylinky, koření jednodruhové sypané v KG</t>
        </is>
      </c>
      <c r="B43" s="48" t="inlineStr"/>
      <c r="C43" s="48" t="inlineStr"/>
      <c r="D43" s="48" t="inlineStr"/>
      <c r="E43" s="48" t="inlineStr"/>
      <c r="F43" s="48" t="inlineStr"/>
      <c r="G43" s="48" t="inlineStr"/>
      <c r="H43" s="48" t="inlineStr"/>
      <c r="I43" s="48" t="inlineStr"/>
      <c r="J43" s="48" t="inlineStr"/>
      <c r="K43" s="48" t="n"/>
    </row>
    <row r="44" ht="12.8" customHeight="1" s="26">
      <c r="A44" t="inlineStr">
        <is>
          <t>s001</t>
        </is>
      </c>
      <c r="B44" t="n">
        <v>0</v>
      </c>
      <c r="C44" t="inlineStr">
        <is>
          <t>Akát trnovník květ řez. kg</t>
        </is>
      </c>
      <c r="G44" t="n">
        <v>375</v>
      </c>
      <c r="H44">
        <f>G44 * B44</f>
        <v/>
      </c>
      <c r="I44" t="n">
        <v>12</v>
      </c>
      <c r="J44">
        <f>420 * B44</f>
        <v/>
      </c>
    </row>
    <row r="45" ht="12.8" customHeight="1" s="26">
      <c r="A45" s="49" t="inlineStr">
        <is>
          <t>s002</t>
        </is>
      </c>
      <c r="B45" s="49" t="inlineStr">
        <is>
          <t>-</t>
        </is>
      </c>
      <c r="C45" s="49" t="inlineStr">
        <is>
          <t>Aloe kapská řez. kg</t>
        </is>
      </c>
      <c r="D45" s="49" t="n"/>
      <c r="E45" s="49" t="n"/>
      <c r="F45" s="49" t="n"/>
      <c r="G45" s="49" t="n">
        <v>630.36</v>
      </c>
      <c r="H45" s="49" t="n"/>
      <c r="I45" s="49" t="n">
        <v>12</v>
      </c>
      <c r="J45" s="49" t="n"/>
      <c r="K45" s="49" t="n"/>
    </row>
    <row r="46" ht="12.8" customHeight="1" s="26">
      <c r="A46" t="inlineStr">
        <is>
          <t>s003</t>
        </is>
      </c>
      <c r="B46" t="n">
        <v>0</v>
      </c>
      <c r="C46" t="inlineStr">
        <is>
          <t>Andělika lékařská kořen řez. kg</t>
        </is>
      </c>
      <c r="G46" t="n">
        <v>705.36</v>
      </c>
      <c r="H46">
        <f>G46 * B46</f>
        <v/>
      </c>
      <c r="I46" t="n">
        <v>12</v>
      </c>
      <c r="J46">
        <f>790 * B46</f>
        <v/>
      </c>
    </row>
    <row r="47" ht="12.8" customHeight="1" s="26">
      <c r="A47" t="inlineStr">
        <is>
          <t>s004</t>
        </is>
      </c>
      <c r="B47" t="n">
        <v>0</v>
      </c>
      <c r="C47" t="inlineStr">
        <is>
          <t>Andělika lékařská plod celý kg</t>
        </is>
      </c>
      <c r="G47" t="n">
        <v>1094.64</v>
      </c>
      <c r="H47">
        <f>G47 * B47</f>
        <v/>
      </c>
      <c r="I47" t="n">
        <v>12</v>
      </c>
      <c r="J47">
        <f>1226 * B47</f>
        <v/>
      </c>
    </row>
    <row r="48" ht="12.8" customHeight="1" s="26">
      <c r="A48" t="inlineStr">
        <is>
          <t>s004</t>
        </is>
      </c>
      <c r="B48" t="n">
        <v>0</v>
      </c>
      <c r="C48" t="inlineStr">
        <is>
          <t>Andělika lékařská plod celý kg</t>
        </is>
      </c>
      <c r="G48" t="n">
        <v>1094.64</v>
      </c>
      <c r="H48">
        <f>G48 * B48</f>
        <v/>
      </c>
      <c r="I48" t="n">
        <v>12</v>
      </c>
      <c r="J48">
        <f>1226 * B48</f>
        <v/>
      </c>
    </row>
    <row r="49" ht="12.8" customHeight="1" s="26">
      <c r="A49" s="49" t="inlineStr">
        <is>
          <t>s0041</t>
        </is>
      </c>
      <c r="B49" s="49" t="inlineStr">
        <is>
          <t>-</t>
        </is>
      </c>
      <c r="C49" s="49" t="inlineStr">
        <is>
          <t>Angostura trojlistá kůra řez. kg</t>
        </is>
      </c>
      <c r="D49" s="49" t="n"/>
      <c r="E49" s="49" t="n"/>
      <c r="F49" s="49" t="n"/>
      <c r="G49" s="49" t="n">
        <v>659.8200000000001</v>
      </c>
      <c r="H49" s="49" t="n"/>
      <c r="I49" s="49" t="n">
        <v>12</v>
      </c>
      <c r="J49" s="49" t="n"/>
      <c r="K49" s="49" t="n"/>
    </row>
    <row r="50" ht="12.8" customHeight="1" s="26">
      <c r="A50" t="inlineStr">
        <is>
          <t>s005</t>
        </is>
      </c>
      <c r="B50" t="n">
        <v>0</v>
      </c>
      <c r="C50" t="inlineStr">
        <is>
          <t>Anýz vonný plod celý kg</t>
        </is>
      </c>
      <c r="G50" t="n">
        <v>300</v>
      </c>
      <c r="H50">
        <f>G50 * B50</f>
        <v/>
      </c>
      <c r="I50" t="n">
        <v>12</v>
      </c>
      <c r="J50">
        <f>336 * B50</f>
        <v/>
      </c>
    </row>
    <row r="51" ht="12.8" customHeight="1" s="26">
      <c r="A51" t="inlineStr">
        <is>
          <t>s006</t>
        </is>
      </c>
      <c r="B51" t="n">
        <v>0</v>
      </c>
      <c r="C51" t="inlineStr">
        <is>
          <t>Arnika horská kořen řez. kg</t>
        </is>
      </c>
      <c r="G51" t="n">
        <v>2280.36</v>
      </c>
      <c r="H51">
        <f>G51 * B51</f>
        <v/>
      </c>
      <c r="I51" t="n">
        <v>12</v>
      </c>
      <c r="J51">
        <f>2554 * B51</f>
        <v/>
      </c>
    </row>
    <row r="52" ht="12.8" customHeight="1" s="26">
      <c r="A52" t="inlineStr">
        <is>
          <t>s006</t>
        </is>
      </c>
      <c r="B52" t="n">
        <v>0</v>
      </c>
      <c r="C52" t="inlineStr">
        <is>
          <t>Arnika horská kořen řez. kg</t>
        </is>
      </c>
      <c r="G52" t="n">
        <v>2280.36</v>
      </c>
      <c r="H52">
        <f>G52 * B52</f>
        <v/>
      </c>
      <c r="I52" t="n">
        <v>12</v>
      </c>
      <c r="J52">
        <f>2554 * B52</f>
        <v/>
      </c>
    </row>
    <row r="53" ht="12.8" customHeight="1" s="26">
      <c r="A53" t="inlineStr">
        <is>
          <t>s007</t>
        </is>
      </c>
      <c r="B53" t="n">
        <v>0</v>
      </c>
      <c r="C53" t="inlineStr">
        <is>
          <t>Arnika horská květ celý kg</t>
        </is>
      </c>
      <c r="G53" t="n">
        <v>2355.36</v>
      </c>
      <c r="H53">
        <f>G53 * B53</f>
        <v/>
      </c>
      <c r="I53" t="n">
        <v>12</v>
      </c>
      <c r="J53">
        <f>2638 * B53</f>
        <v/>
      </c>
    </row>
    <row r="54" ht="12.8" customHeight="1" s="26">
      <c r="A54" s="49" t="inlineStr">
        <is>
          <t>s008</t>
        </is>
      </c>
      <c r="B54" s="49" t="inlineStr">
        <is>
          <t>-</t>
        </is>
      </c>
      <c r="C54" s="49" t="inlineStr">
        <is>
          <t>Artyčok kardový nať řez. kg</t>
        </is>
      </c>
      <c r="D54" s="49" t="n"/>
      <c r="E54" s="49" t="n"/>
      <c r="F54" s="49" t="n"/>
      <c r="G54" s="49" t="n">
        <v>405.36</v>
      </c>
      <c r="H54" s="49" t="n"/>
      <c r="I54" s="49" t="n">
        <v>12</v>
      </c>
      <c r="J54" s="49" t="n"/>
      <c r="K54" s="49" t="n"/>
    </row>
    <row r="55" ht="12.8" customHeight="1" s="26">
      <c r="A55" s="49" t="inlineStr">
        <is>
          <t>s009</t>
        </is>
      </c>
      <c r="B55" s="49" t="inlineStr">
        <is>
          <t>-</t>
        </is>
      </c>
      <c r="C55" s="49" t="inlineStr">
        <is>
          <t>Badyán pravý plod celý kg</t>
        </is>
      </c>
      <c r="D55" s="49" t="n"/>
      <c r="E55" s="49" t="n"/>
      <c r="F55" s="49" t="n"/>
      <c r="G55" s="49" t="n">
        <v>1493.75</v>
      </c>
      <c r="H55" s="49" t="n"/>
      <c r="I55" s="49" t="n">
        <v>12</v>
      </c>
      <c r="J55" s="49" t="n"/>
      <c r="K55" s="49" t="n"/>
    </row>
    <row r="56" ht="12.8" customHeight="1" s="26">
      <c r="A56" t="inlineStr">
        <is>
          <t>s010</t>
        </is>
      </c>
      <c r="B56" t="n">
        <v>0</v>
      </c>
      <c r="C56" t="inlineStr">
        <is>
          <t>Bazalka pravá nať řez. kg</t>
        </is>
      </c>
      <c r="G56" t="n">
        <v>200.89</v>
      </c>
      <c r="H56">
        <f>G56 * B56</f>
        <v/>
      </c>
      <c r="I56" t="n">
        <v>12</v>
      </c>
      <c r="J56">
        <f>225 * B56</f>
        <v/>
      </c>
    </row>
    <row r="57" ht="12.8" customHeight="1" s="26">
      <c r="A57" t="inlineStr">
        <is>
          <t>s010</t>
        </is>
      </c>
      <c r="B57" t="n">
        <v>0</v>
      </c>
      <c r="C57" t="inlineStr">
        <is>
          <t>Bazalka pravá nať řez. kg</t>
        </is>
      </c>
      <c r="G57" t="n">
        <v>200.89</v>
      </c>
      <c r="H57">
        <f>G57 * B57</f>
        <v/>
      </c>
      <c r="I57" t="n">
        <v>12</v>
      </c>
      <c r="J57">
        <f>225 * B57</f>
        <v/>
      </c>
    </row>
    <row r="58" ht="12.8" customHeight="1" s="26">
      <c r="A58" t="inlineStr">
        <is>
          <t>s011</t>
        </is>
      </c>
      <c r="B58" t="n">
        <v>0</v>
      </c>
      <c r="C58" t="inlineStr">
        <is>
          <t>Bedrník obecný kořen řez. kg</t>
        </is>
      </c>
      <c r="G58" t="n">
        <v>1890.18</v>
      </c>
      <c r="H58">
        <f>G58 * B58</f>
        <v/>
      </c>
      <c r="I58" t="n">
        <v>12</v>
      </c>
      <c r="J58">
        <f>2117 * B58</f>
        <v/>
      </c>
    </row>
    <row r="59" ht="12.8" customHeight="1" s="26">
      <c r="A59" t="inlineStr">
        <is>
          <t>s012</t>
        </is>
      </c>
      <c r="B59" t="n">
        <v>0</v>
      </c>
      <c r="C59" t="inlineStr">
        <is>
          <t>Bedrník obecný nať řez. kg</t>
        </is>
      </c>
      <c r="G59" t="n">
        <v>555.36</v>
      </c>
      <c r="H59">
        <f>G59 * B59</f>
        <v/>
      </c>
      <c r="I59" t="n">
        <v>12</v>
      </c>
      <c r="J59">
        <f>622 * B59</f>
        <v/>
      </c>
    </row>
    <row r="60" ht="12.8" customHeight="1" s="26">
      <c r="A60" t="inlineStr">
        <is>
          <t>s013</t>
        </is>
      </c>
      <c r="B60" t="n">
        <v>0</v>
      </c>
      <c r="C60" t="inlineStr">
        <is>
          <t>Benedikt čubet nať řez. kg</t>
        </is>
      </c>
      <c r="G60" t="n">
        <v>315.18</v>
      </c>
      <c r="H60">
        <f>G60 * B60</f>
        <v/>
      </c>
      <c r="I60" t="n">
        <v>12</v>
      </c>
      <c r="J60">
        <f>353 * B60</f>
        <v/>
      </c>
    </row>
    <row r="61" ht="12.8" customHeight="1" s="26">
      <c r="A61" t="inlineStr">
        <is>
          <t>s014</t>
        </is>
      </c>
      <c r="B61" t="n">
        <v>0</v>
      </c>
      <c r="C61" t="inlineStr">
        <is>
          <t>Bez černý květ řez. kg</t>
        </is>
      </c>
      <c r="G61" t="n">
        <v>884.8200000000001</v>
      </c>
      <c r="H61">
        <f>G61 * B61</f>
        <v/>
      </c>
      <c r="I61" t="n">
        <v>12</v>
      </c>
      <c r="J61">
        <f>991 * B61</f>
        <v/>
      </c>
    </row>
    <row r="62" ht="12.8" customHeight="1" s="26">
      <c r="A62" t="inlineStr">
        <is>
          <t>s015</t>
        </is>
      </c>
      <c r="B62" t="n">
        <v>0</v>
      </c>
      <c r="C62" t="inlineStr">
        <is>
          <t>Bez černý plod celý kg</t>
        </is>
      </c>
      <c r="G62" t="n">
        <v>776.79</v>
      </c>
      <c r="H62">
        <f>G62 * B62</f>
        <v/>
      </c>
      <c r="I62" t="n">
        <v>12</v>
      </c>
      <c r="J62">
        <f>870 * B62</f>
        <v/>
      </c>
    </row>
    <row r="63" ht="12.8" customHeight="1" s="26">
      <c r="A63" t="inlineStr">
        <is>
          <t>s015</t>
        </is>
      </c>
      <c r="B63" t="n">
        <v>0</v>
      </c>
      <c r="C63" t="inlineStr">
        <is>
          <t>Bez černý plod celý kg</t>
        </is>
      </c>
      <c r="G63" t="n">
        <v>776.79</v>
      </c>
      <c r="H63">
        <f>G63 * B63</f>
        <v/>
      </c>
      <c r="I63" t="n">
        <v>12</v>
      </c>
      <c r="J63">
        <f>870 * B63</f>
        <v/>
      </c>
    </row>
    <row r="64" ht="12.8" customHeight="1" s="26">
      <c r="A64" s="49" t="inlineStr">
        <is>
          <t>s016</t>
        </is>
      </c>
      <c r="B64" s="49" t="inlineStr">
        <is>
          <t>-</t>
        </is>
      </c>
      <c r="C64" s="49" t="inlineStr">
        <is>
          <t>Bobkový list celý (Vavřín ušlechtilý) kg</t>
        </is>
      </c>
      <c r="D64" s="49" t="n"/>
      <c r="E64" s="49" t="n"/>
      <c r="F64" s="49" t="n"/>
      <c r="G64" s="49" t="n">
        <v>419.64</v>
      </c>
      <c r="H64" s="49" t="n"/>
      <c r="I64" s="49" t="n">
        <v>12</v>
      </c>
      <c r="J64" s="49" t="n"/>
      <c r="K64" s="49" t="n"/>
    </row>
    <row r="65" ht="12.8" customHeight="1" s="26">
      <c r="A65" t="inlineStr">
        <is>
          <t>s017</t>
        </is>
      </c>
      <c r="B65" t="n">
        <v>0</v>
      </c>
      <c r="C65" t="inlineStr">
        <is>
          <t>Boldovník (boldo) vonný list řez. kg</t>
        </is>
      </c>
      <c r="G65" t="n">
        <v>1469.64</v>
      </c>
      <c r="H65">
        <f>G65 * B65</f>
        <v/>
      </c>
      <c r="I65" t="n">
        <v>12</v>
      </c>
      <c r="J65">
        <f>1646 * B65</f>
        <v/>
      </c>
    </row>
    <row r="66" ht="12.8" customHeight="1" s="26">
      <c r="A66" t="inlineStr">
        <is>
          <t>s017</t>
        </is>
      </c>
      <c r="B66" t="n">
        <v>0</v>
      </c>
      <c r="C66" t="inlineStr">
        <is>
          <t>Boldovník (boldo) vonný list řez. kg</t>
        </is>
      </c>
      <c r="G66" t="n">
        <v>1469.64</v>
      </c>
      <c r="H66">
        <f>G66 * B66</f>
        <v/>
      </c>
      <c r="I66" t="n">
        <v>12</v>
      </c>
      <c r="J66">
        <f>1646 * B66</f>
        <v/>
      </c>
    </row>
    <row r="67" ht="12.8" customHeight="1" s="26">
      <c r="A67" s="49" t="inlineStr">
        <is>
          <t>s0171</t>
        </is>
      </c>
      <c r="B67" s="49" t="inlineStr">
        <is>
          <t>-</t>
        </is>
      </c>
      <c r="C67" s="49" t="inlineStr">
        <is>
          <t>Borůvka černá (brusnice) list řez. kg</t>
        </is>
      </c>
      <c r="D67" s="49" t="n"/>
      <c r="E67" s="49" t="n"/>
      <c r="F67" s="49" t="n"/>
      <c r="G67" s="49" t="n">
        <v>375</v>
      </c>
      <c r="H67" s="49" t="n"/>
      <c r="I67" s="49" t="n">
        <v>12</v>
      </c>
      <c r="J67" s="49" t="n"/>
      <c r="K67" s="49" t="n"/>
    </row>
    <row r="68" ht="12.8" customHeight="1" s="26">
      <c r="A68" t="inlineStr">
        <is>
          <t>s018</t>
        </is>
      </c>
      <c r="B68" t="n">
        <v>0</v>
      </c>
      <c r="C68" t="inlineStr">
        <is>
          <t>Borůvka černá (brusnice) nať řez. kg</t>
        </is>
      </c>
      <c r="G68" t="n">
        <v>315.18</v>
      </c>
      <c r="H68">
        <f>G68 * B68</f>
        <v/>
      </c>
      <c r="I68" t="n">
        <v>12</v>
      </c>
      <c r="J68">
        <f>353 * B68</f>
        <v/>
      </c>
    </row>
    <row r="69" ht="12.8" customHeight="1" s="26">
      <c r="A69" s="49" t="inlineStr">
        <is>
          <t>s019</t>
        </is>
      </c>
      <c r="B69" s="49" t="inlineStr">
        <is>
          <t>-</t>
        </is>
      </c>
      <c r="C69" s="49" t="inlineStr">
        <is>
          <t>Borůvka černá (brusnice) plod celý kg</t>
        </is>
      </c>
      <c r="D69" s="49" t="n"/>
      <c r="E69" s="49" t="n"/>
      <c r="F69" s="49" t="n"/>
      <c r="G69" s="49" t="n">
        <v>2250</v>
      </c>
      <c r="H69" s="49" t="n"/>
      <c r="I69" s="49" t="n">
        <v>12</v>
      </c>
      <c r="J69" s="49" t="n"/>
      <c r="K69" s="49" t="n"/>
    </row>
    <row r="70" ht="12.8" customHeight="1" s="26">
      <c r="A70" s="49" t="inlineStr">
        <is>
          <t>s0191</t>
        </is>
      </c>
      <c r="B70" s="49" t="inlineStr">
        <is>
          <t>-</t>
        </is>
      </c>
      <c r="C70" s="49" t="inlineStr">
        <is>
          <t>Boswellia (Kadidlovník pilovitý) pryskyřice řez. kg</t>
        </is>
      </c>
      <c r="D70" s="49" t="n"/>
      <c r="E70" s="49" t="n"/>
      <c r="F70" s="49" t="n"/>
      <c r="G70" s="49" t="n">
        <v>2250</v>
      </c>
      <c r="H70" s="49" t="n"/>
      <c r="I70" s="49" t="n">
        <v>12</v>
      </c>
      <c r="J70" s="49" t="n"/>
      <c r="K70" s="49" t="n"/>
    </row>
    <row r="71" ht="12.8" customHeight="1" s="26">
      <c r="A71" t="inlineStr">
        <is>
          <t>s020</t>
        </is>
      </c>
      <c r="B71" t="n">
        <v>0</v>
      </c>
      <c r="C71" t="inlineStr">
        <is>
          <t>Brusinka obecná (brusnice) list řez. kg</t>
        </is>
      </c>
      <c r="G71" t="n">
        <v>450</v>
      </c>
      <c r="H71">
        <f>G71 * B71</f>
        <v/>
      </c>
      <c r="I71" t="n">
        <v>12</v>
      </c>
      <c r="J71">
        <f>504 * B71</f>
        <v/>
      </c>
    </row>
    <row r="72" ht="12.8" customHeight="1" s="26">
      <c r="A72" t="inlineStr">
        <is>
          <t>s020</t>
        </is>
      </c>
      <c r="B72" t="n">
        <v>0</v>
      </c>
      <c r="C72" t="inlineStr">
        <is>
          <t>Brusinka obecná (brusnice) list řez. kg</t>
        </is>
      </c>
      <c r="G72" t="n">
        <v>450</v>
      </c>
      <c r="H72">
        <f>G72 * B72</f>
        <v/>
      </c>
      <c r="I72" t="n">
        <v>12</v>
      </c>
      <c r="J72">
        <f>504 * B72</f>
        <v/>
      </c>
    </row>
    <row r="73" ht="12.8" customHeight="1" s="26">
      <c r="A73" t="inlineStr">
        <is>
          <t>s021</t>
        </is>
      </c>
      <c r="B73" t="n">
        <v>0</v>
      </c>
      <c r="C73" t="inlineStr">
        <is>
          <t>Brutnák lékařský nať řez. kg</t>
        </is>
      </c>
      <c r="G73" t="n">
        <v>438.39</v>
      </c>
      <c r="H73">
        <f>G73 * B73</f>
        <v/>
      </c>
      <c r="I73" t="n">
        <v>12</v>
      </c>
      <c r="J73">
        <f>491 * B73</f>
        <v/>
      </c>
    </row>
    <row r="74" ht="12.8" customHeight="1" s="26">
      <c r="A74" t="inlineStr">
        <is>
          <t>s022</t>
        </is>
      </c>
      <c r="B74" t="n">
        <v>0</v>
      </c>
      <c r="C74" t="inlineStr">
        <is>
          <t>Bříza bělokorá list řez. kg</t>
        </is>
      </c>
      <c r="G74" t="n">
        <v>324.11</v>
      </c>
      <c r="H74">
        <f>G74 * B74</f>
        <v/>
      </c>
      <c r="I74" t="n">
        <v>12</v>
      </c>
      <c r="J74">
        <f>363 * B74</f>
        <v/>
      </c>
    </row>
    <row r="75" ht="12.8" customHeight="1" s="26">
      <c r="A75" t="inlineStr">
        <is>
          <t>s0221</t>
        </is>
      </c>
      <c r="B75" t="n">
        <v>0</v>
      </c>
      <c r="C75" t="inlineStr">
        <is>
          <t>Břečťan popínavý list řez. kg</t>
        </is>
      </c>
      <c r="G75" t="n">
        <v>386.61</v>
      </c>
      <c r="H75">
        <f>G75 * B75</f>
        <v/>
      </c>
      <c r="I75" t="n">
        <v>12</v>
      </c>
      <c r="J75">
        <f>433 * B75</f>
        <v/>
      </c>
    </row>
    <row r="76" ht="12.8" customHeight="1" s="26">
      <c r="A76" t="inlineStr">
        <is>
          <t>s023</t>
        </is>
      </c>
      <c r="B76" t="n">
        <v>0</v>
      </c>
      <c r="C76" t="inlineStr">
        <is>
          <t>Bucco (Těhozev pilkovitý) list celý kg</t>
        </is>
      </c>
      <c r="G76" t="n">
        <v>4590.18</v>
      </c>
      <c r="H76">
        <f>G76 * B76</f>
        <v/>
      </c>
      <c r="I76" t="n">
        <v>12</v>
      </c>
      <c r="J76">
        <f>5141 * B76</f>
        <v/>
      </c>
    </row>
    <row r="77" ht="12.8" customHeight="1" s="26">
      <c r="A77" s="49" t="inlineStr">
        <is>
          <t>s024</t>
        </is>
      </c>
      <c r="B77" s="49" t="inlineStr">
        <is>
          <t>-</t>
        </is>
      </c>
      <c r="C77" s="49" t="inlineStr">
        <is>
          <t>Bukvice lékařská nať řez. kg</t>
        </is>
      </c>
      <c r="D77" s="49" t="n"/>
      <c r="E77" s="49" t="n"/>
      <c r="F77" s="49" t="n"/>
      <c r="G77" s="49" t="n">
        <v>390.18</v>
      </c>
      <c r="H77" s="49" t="n"/>
      <c r="I77" s="49" t="n">
        <v>12</v>
      </c>
      <c r="J77" s="49" t="n"/>
      <c r="K77" s="49" t="n"/>
    </row>
    <row r="78" ht="12.8" customHeight="1" s="26">
      <c r="A78" t="inlineStr">
        <is>
          <t>s0241</t>
        </is>
      </c>
      <c r="B78" t="n">
        <v>0</v>
      </c>
      <c r="C78" t="inlineStr">
        <is>
          <t>Celer (Miřík celer) kořen kostka řez. kg</t>
        </is>
      </c>
      <c r="G78" t="n">
        <v>540.1799999999999</v>
      </c>
      <c r="H78">
        <f>G78 * B78</f>
        <v/>
      </c>
      <c r="I78" t="n">
        <v>12</v>
      </c>
      <c r="J78">
        <f>605 * B78</f>
        <v/>
      </c>
    </row>
    <row r="79" ht="12.8" customHeight="1" s="26">
      <c r="A79" s="49" t="inlineStr">
        <is>
          <t>s0242</t>
        </is>
      </c>
      <c r="B79" s="49" t="inlineStr">
        <is>
          <t>-</t>
        </is>
      </c>
      <c r="C79" s="49" t="inlineStr">
        <is>
          <t>Celer (Miřík celer) nať řez. kg</t>
        </is>
      </c>
      <c r="D79" s="49" t="n"/>
      <c r="E79" s="49" t="n"/>
      <c r="F79" s="49" t="n"/>
      <c r="G79" s="49" t="n">
        <v>240.18</v>
      </c>
      <c r="H79" s="49" t="n"/>
      <c r="I79" s="49" t="n">
        <v>12</v>
      </c>
      <c r="J79" s="49" t="n"/>
      <c r="K79" s="49" t="n"/>
    </row>
    <row r="80" ht="12.8" customHeight="1" s="26">
      <c r="A80" t="inlineStr">
        <is>
          <t>s025</t>
        </is>
      </c>
      <c r="B80" t="n">
        <v>0</v>
      </c>
      <c r="C80" t="inlineStr">
        <is>
          <t>Citroník pravý oplodí kostky řez. kg</t>
        </is>
      </c>
      <c r="G80" t="n">
        <v>708.04</v>
      </c>
      <c r="H80">
        <f>G80 * B80</f>
        <v/>
      </c>
      <c r="I80" t="n">
        <v>12</v>
      </c>
      <c r="J80">
        <f>793 * B80</f>
        <v/>
      </c>
    </row>
    <row r="81" ht="12.8" customHeight="1" s="26">
      <c r="A81" t="inlineStr">
        <is>
          <t>s026</t>
        </is>
      </c>
      <c r="B81" t="n">
        <v>0</v>
      </c>
      <c r="C81" t="inlineStr">
        <is>
          <t>Citronová tráva řez. (1-2cm) kg</t>
        </is>
      </c>
      <c r="G81" t="n">
        <v>225</v>
      </c>
      <c r="H81">
        <f>G81 * B81</f>
        <v/>
      </c>
      <c r="I81" t="n">
        <v>12</v>
      </c>
      <c r="J81">
        <f>252 * B81</f>
        <v/>
      </c>
    </row>
    <row r="82" ht="12.8" customHeight="1" s="26">
      <c r="A82" s="49" t="inlineStr">
        <is>
          <t>s027</t>
        </is>
      </c>
      <c r="B82" s="49" t="inlineStr">
        <is>
          <t>-</t>
        </is>
      </c>
      <c r="C82" s="49" t="inlineStr">
        <is>
          <t>Citvar kurkuma kořen řez. kg</t>
        </is>
      </c>
      <c r="D82" s="49" t="n"/>
      <c r="E82" s="49" t="n"/>
      <c r="F82" s="49" t="n"/>
      <c r="G82" s="49" t="n">
        <v>297.32</v>
      </c>
      <c r="H82" s="49" t="n"/>
      <c r="I82" s="49" t="n">
        <v>12</v>
      </c>
      <c r="J82" s="49" t="n"/>
      <c r="K82" s="49" t="n"/>
    </row>
    <row r="83" ht="12.8" customHeight="1" s="26">
      <c r="A83" s="49" t="inlineStr">
        <is>
          <t>s028</t>
        </is>
      </c>
      <c r="B83" s="49" t="inlineStr">
        <is>
          <t>-</t>
        </is>
      </c>
      <c r="C83" s="49" t="inlineStr">
        <is>
          <t>Čechřice vonná kořen řez. kg</t>
        </is>
      </c>
      <c r="D83" s="49" t="n"/>
      <c r="E83" s="49" t="n"/>
      <c r="F83" s="49" t="n"/>
      <c r="G83" s="49" t="n">
        <v>317.86</v>
      </c>
      <c r="H83" s="49" t="n"/>
      <c r="I83" s="49" t="n">
        <v>12</v>
      </c>
      <c r="J83" s="49" t="n"/>
      <c r="K83" s="49" t="n"/>
    </row>
    <row r="84" ht="12.8" customHeight="1" s="26">
      <c r="A84" t="inlineStr">
        <is>
          <t>s029</t>
        </is>
      </c>
      <c r="B84" t="n">
        <v>0</v>
      </c>
      <c r="C84" t="inlineStr">
        <is>
          <t>Čekanka obecná kořen řez. kg</t>
        </is>
      </c>
      <c r="G84" t="n">
        <v>297.32</v>
      </c>
      <c r="H84">
        <f>G84 * B84</f>
        <v/>
      </c>
      <c r="I84" t="n">
        <v>12</v>
      </c>
      <c r="J84">
        <f>333 * B84</f>
        <v/>
      </c>
    </row>
    <row r="85" ht="12.8" customHeight="1" s="26">
      <c r="A85" t="inlineStr">
        <is>
          <t>s0291</t>
        </is>
      </c>
      <c r="B85" t="n">
        <v>0</v>
      </c>
      <c r="C85" t="inlineStr">
        <is>
          <t>Cikorka od miloty (čekanka pražená kořen celý) kg</t>
        </is>
      </c>
      <c r="G85" t="n">
        <v>260.71</v>
      </c>
      <c r="H85">
        <f>G85 * B85</f>
        <v/>
      </c>
      <c r="I85" t="n">
        <v>12</v>
      </c>
      <c r="J85">
        <f>292 * B85</f>
        <v/>
      </c>
    </row>
    <row r="86" ht="12.8" customHeight="1" s="26">
      <c r="A86" t="inlineStr">
        <is>
          <t>s030</t>
        </is>
      </c>
      <c r="B86" t="n">
        <v>0</v>
      </c>
      <c r="C86" t="inlineStr">
        <is>
          <t>Čekanka obecná nať řez. kg</t>
        </is>
      </c>
      <c r="G86" t="n">
        <v>225</v>
      </c>
      <c r="H86">
        <f>G86 * B86</f>
        <v/>
      </c>
      <c r="I86" t="n">
        <v>12</v>
      </c>
      <c r="J86">
        <f>252 * B86</f>
        <v/>
      </c>
    </row>
    <row r="87" ht="12.8" customHeight="1" s="26">
      <c r="A87" s="49" t="inlineStr">
        <is>
          <t>s031</t>
        </is>
      </c>
      <c r="B87" s="49" t="inlineStr">
        <is>
          <t>-</t>
        </is>
      </c>
      <c r="C87" s="49" t="inlineStr">
        <is>
          <t>Černohlávek obecný nať řez. kg</t>
        </is>
      </c>
      <c r="D87" s="49" t="n"/>
      <c r="E87" s="49" t="n"/>
      <c r="F87" s="49" t="n"/>
      <c r="G87" s="49" t="n">
        <v>119.64</v>
      </c>
      <c r="H87" s="49" t="n"/>
      <c r="I87" s="49" t="n">
        <v>12</v>
      </c>
      <c r="J87" s="49" t="n"/>
      <c r="K87" s="49" t="n"/>
    </row>
    <row r="88" ht="12.8" customHeight="1" s="26">
      <c r="A88" s="49" t="inlineStr">
        <is>
          <t>s0311</t>
        </is>
      </c>
      <c r="B88" s="49" t="inlineStr">
        <is>
          <t>-</t>
        </is>
      </c>
      <c r="C88" s="49" t="inlineStr">
        <is>
          <t>Černucha setá semeno celý kg</t>
        </is>
      </c>
      <c r="D88" s="49" t="n"/>
      <c r="E88" s="49" t="n"/>
      <c r="F88" s="49" t="n"/>
      <c r="G88" s="49" t="n">
        <v>359.82</v>
      </c>
      <c r="H88" s="49" t="n"/>
      <c r="I88" s="49" t="n">
        <v>12</v>
      </c>
      <c r="J88" s="49" t="n"/>
      <c r="K88" s="49" t="n"/>
    </row>
    <row r="89" ht="12.8" customHeight="1" s="26">
      <c r="A89" t="inlineStr">
        <is>
          <t>s032</t>
        </is>
      </c>
      <c r="B89" t="n">
        <v>0</v>
      </c>
      <c r="C89" t="inlineStr">
        <is>
          <t>Červená řepa kořen kostky kg</t>
        </is>
      </c>
      <c r="G89" t="n">
        <v>269.64</v>
      </c>
      <c r="H89">
        <f>G89 * B89</f>
        <v/>
      </c>
      <c r="I89" t="n">
        <v>12</v>
      </c>
      <c r="J89">
        <f>302 * B89</f>
        <v/>
      </c>
    </row>
    <row r="90" ht="12.8" customHeight="1" s="26">
      <c r="A90" t="inlineStr">
        <is>
          <t>s033</t>
        </is>
      </c>
      <c r="B90" t="n">
        <v>0</v>
      </c>
      <c r="C90" t="inlineStr">
        <is>
          <t>Česnek medvědí list řez. kg</t>
        </is>
      </c>
      <c r="G90" t="n">
        <v>869.64</v>
      </c>
      <c r="H90">
        <f>G90 * B90</f>
        <v/>
      </c>
      <c r="I90" t="n">
        <v>12</v>
      </c>
      <c r="J90">
        <f>974 * B90</f>
        <v/>
      </c>
    </row>
    <row r="91" ht="12.8" customHeight="1" s="26">
      <c r="A91" s="49" t="inlineStr">
        <is>
          <t>s034</t>
        </is>
      </c>
      <c r="B91" s="49" t="inlineStr">
        <is>
          <t>-</t>
        </is>
      </c>
      <c r="C91" s="49" t="inlineStr">
        <is>
          <t>Damiána mexická list řez. kg</t>
        </is>
      </c>
      <c r="D91" s="49" t="n"/>
      <c r="E91" s="49" t="n"/>
      <c r="F91" s="49" t="n"/>
      <c r="G91" s="49" t="n">
        <v>659.8200000000001</v>
      </c>
      <c r="H91" s="49" t="n"/>
      <c r="I91" s="49" t="n">
        <v>12</v>
      </c>
      <c r="J91" s="49" t="n"/>
      <c r="K91" s="49" t="n"/>
    </row>
    <row r="92" ht="12.8" customHeight="1" s="26">
      <c r="A92" s="49" t="inlineStr">
        <is>
          <t>s035</t>
        </is>
      </c>
      <c r="B92" s="49" t="inlineStr">
        <is>
          <t>-</t>
        </is>
      </c>
      <c r="C92" s="49" t="inlineStr">
        <is>
          <t>Devětsil lékařský kořen řez. kg</t>
        </is>
      </c>
      <c r="D92" s="49" t="n"/>
      <c r="E92" s="49" t="n"/>
      <c r="F92" s="49" t="n"/>
      <c r="G92" s="49" t="n">
        <v>809.8200000000001</v>
      </c>
      <c r="H92" s="49" t="n"/>
      <c r="I92" s="49" t="n">
        <v>12</v>
      </c>
      <c r="J92" s="49" t="n"/>
      <c r="K92" s="49" t="n"/>
    </row>
    <row r="93" ht="12.8" customHeight="1" s="26">
      <c r="A93" t="inlineStr">
        <is>
          <t>s036</t>
        </is>
      </c>
      <c r="B93" t="n">
        <v>0</v>
      </c>
      <c r="C93" t="inlineStr">
        <is>
          <t>Devětsil lékařský list řez. kg</t>
        </is>
      </c>
      <c r="G93" t="n">
        <v>690.1799999999999</v>
      </c>
      <c r="H93">
        <f>G93 * B93</f>
        <v/>
      </c>
      <c r="I93" t="n">
        <v>12</v>
      </c>
      <c r="J93">
        <f>773 * B93</f>
        <v/>
      </c>
    </row>
    <row r="94" ht="12.8" customHeight="1" s="26">
      <c r="A94" t="inlineStr">
        <is>
          <t>s036</t>
        </is>
      </c>
      <c r="B94" t="n">
        <v>0</v>
      </c>
      <c r="C94" t="inlineStr">
        <is>
          <t>Devětsil lékařský list řez. kg</t>
        </is>
      </c>
      <c r="G94" t="n">
        <v>690.1799999999999</v>
      </c>
      <c r="H94">
        <f>G94 * B94</f>
        <v/>
      </c>
      <c r="I94" t="n">
        <v>12</v>
      </c>
      <c r="J94">
        <f>773 * B94</f>
        <v/>
      </c>
    </row>
    <row r="95" ht="12.8" customHeight="1" s="26">
      <c r="A95" t="inlineStr">
        <is>
          <t>s037</t>
        </is>
      </c>
      <c r="B95" t="n">
        <v>0</v>
      </c>
      <c r="C95" t="inlineStr">
        <is>
          <t>Divizna obecná květ celý kg</t>
        </is>
      </c>
      <c r="G95" t="n">
        <v>1125</v>
      </c>
      <c r="H95">
        <f>G95 * B95</f>
        <v/>
      </c>
      <c r="I95" t="n">
        <v>12</v>
      </c>
      <c r="J95">
        <f>1260 * B95</f>
        <v/>
      </c>
    </row>
    <row r="96" ht="12.8" customHeight="1" s="26">
      <c r="A96" s="49" t="inlineStr">
        <is>
          <t>s038</t>
        </is>
      </c>
      <c r="B96" s="49" t="inlineStr">
        <is>
          <t>-</t>
        </is>
      </c>
      <c r="C96" s="49" t="inlineStr">
        <is>
          <t>Divizna obecná list řez. kg</t>
        </is>
      </c>
      <c r="D96" s="49" t="n"/>
      <c r="E96" s="49" t="n"/>
      <c r="F96" s="49" t="n"/>
      <c r="G96" s="49" t="n">
        <v>293.75</v>
      </c>
      <c r="H96" s="49" t="n"/>
      <c r="I96" s="49" t="n">
        <v>12</v>
      </c>
      <c r="J96" s="49" t="n"/>
      <c r="K96" s="49" t="n"/>
    </row>
    <row r="97" ht="12.8" customHeight="1" s="26">
      <c r="A97" t="inlineStr">
        <is>
          <t>s039</t>
        </is>
      </c>
      <c r="B97" t="n">
        <v>0</v>
      </c>
      <c r="C97" t="inlineStr">
        <is>
          <t>Dobromysl obecná nať řez. kg</t>
        </is>
      </c>
      <c r="G97" t="n">
        <v>203.57</v>
      </c>
      <c r="H97">
        <f>G97 * B97</f>
        <v/>
      </c>
      <c r="I97" t="n">
        <v>12</v>
      </c>
      <c r="J97">
        <f>228 * B97</f>
        <v/>
      </c>
    </row>
    <row r="98" ht="12.8" customHeight="1" s="26">
      <c r="A98" t="inlineStr">
        <is>
          <t>s039</t>
        </is>
      </c>
      <c r="B98" t="n">
        <v>0</v>
      </c>
      <c r="C98" t="inlineStr">
        <is>
          <t>Dobromysl obecná nať řez. kg</t>
        </is>
      </c>
      <c r="G98" t="n">
        <v>203.57</v>
      </c>
      <c r="H98">
        <f>G98 * B98</f>
        <v/>
      </c>
      <c r="I98" t="n">
        <v>12</v>
      </c>
      <c r="J98">
        <f>228 * B98</f>
        <v/>
      </c>
    </row>
    <row r="99" ht="12.8" customHeight="1" s="26">
      <c r="A99" s="49" t="inlineStr">
        <is>
          <t>s040</t>
        </is>
      </c>
      <c r="B99" s="49" t="inlineStr">
        <is>
          <t>-</t>
        </is>
      </c>
      <c r="C99" s="49" t="inlineStr">
        <is>
          <t>Drmek obecný plod celý kg</t>
        </is>
      </c>
      <c r="D99" s="49" t="n"/>
      <c r="E99" s="49" t="n"/>
      <c r="F99" s="49" t="n"/>
      <c r="G99" s="49" t="n">
        <v>269.64</v>
      </c>
      <c r="H99" s="49" t="n"/>
      <c r="I99" s="49" t="n">
        <v>12</v>
      </c>
      <c r="J99" s="49" t="n"/>
      <c r="K99" s="49" t="n"/>
    </row>
    <row r="100" ht="12.8" customHeight="1" s="26">
      <c r="A100" t="inlineStr">
        <is>
          <t>s041</t>
        </is>
      </c>
      <c r="B100" t="n">
        <v>0</v>
      </c>
      <c r="C100" t="inlineStr">
        <is>
          <t>Dub letní kůra řez. kg</t>
        </is>
      </c>
      <c r="G100" t="n">
        <v>225</v>
      </c>
      <c r="H100">
        <f>G100 * B100</f>
        <v/>
      </c>
      <c r="I100" t="n">
        <v>12</v>
      </c>
      <c r="J100">
        <f>252 * B100</f>
        <v/>
      </c>
    </row>
    <row r="101" ht="12.8" customHeight="1" s="26">
      <c r="A101" s="49" t="inlineStr">
        <is>
          <t>s0411</t>
        </is>
      </c>
      <c r="B101" s="49" t="inlineStr">
        <is>
          <t>-</t>
        </is>
      </c>
      <c r="C101" s="49" t="inlineStr">
        <is>
          <t>Duběnka (Dub barvířský,hálkový) hálka kg</t>
        </is>
      </c>
      <c r="D101" s="49" t="n"/>
      <c r="E101" s="49" t="n"/>
      <c r="F101" s="49" t="n"/>
      <c r="G101" s="49" t="n">
        <v>3900</v>
      </c>
      <c r="H101" s="49" t="n"/>
      <c r="I101" s="49" t="n">
        <v>12</v>
      </c>
      <c r="J101" s="49" t="n"/>
      <c r="K101" s="49" t="n"/>
    </row>
    <row r="102" ht="12.8" customHeight="1" s="26">
      <c r="A102" s="49" t="inlineStr">
        <is>
          <t>s042</t>
        </is>
      </c>
      <c r="B102" s="49" t="inlineStr">
        <is>
          <t>-</t>
        </is>
      </c>
      <c r="C102" s="49" t="inlineStr">
        <is>
          <t>Dvouzubec trojdílný nať řez. kg</t>
        </is>
      </c>
      <c r="D102" s="49" t="n"/>
      <c r="E102" s="49" t="n"/>
      <c r="F102" s="49" t="n"/>
      <c r="G102" s="49" t="n">
        <v>284.82</v>
      </c>
      <c r="H102" s="49" t="n"/>
      <c r="I102" s="49" t="n">
        <v>12</v>
      </c>
      <c r="J102" s="49" t="n"/>
      <c r="K102" s="49" t="n"/>
    </row>
    <row r="103" ht="12.8" customHeight="1" s="26">
      <c r="A103" t="inlineStr">
        <is>
          <t>s043</t>
        </is>
      </c>
      <c r="B103" t="n">
        <v>0</v>
      </c>
      <c r="C103" t="inlineStr">
        <is>
          <t>Echinacea (Rudbeckie nachová) kořen řez. kg</t>
        </is>
      </c>
      <c r="G103" t="n">
        <v>809.8200000000001</v>
      </c>
      <c r="H103">
        <f>G103 * B103</f>
        <v/>
      </c>
      <c r="I103" t="n">
        <v>12</v>
      </c>
      <c r="J103">
        <f>907 * B103</f>
        <v/>
      </c>
    </row>
    <row r="104" ht="12.8" customHeight="1" s="26">
      <c r="A104" s="49" t="inlineStr">
        <is>
          <t>s044</t>
        </is>
      </c>
      <c r="B104" s="49" t="inlineStr">
        <is>
          <t>-</t>
        </is>
      </c>
      <c r="C104" s="49" t="inlineStr">
        <is>
          <t>Echinacea (Rudbeckie nachová) květ řez. kg</t>
        </is>
      </c>
      <c r="D104" s="49" t="n"/>
      <c r="E104" s="49" t="n"/>
      <c r="F104" s="49" t="n"/>
      <c r="G104" s="49" t="n">
        <v>525</v>
      </c>
      <c r="H104" s="49" t="n"/>
      <c r="I104" s="49" t="n">
        <v>12</v>
      </c>
      <c r="J104" s="49" t="n"/>
      <c r="K104" s="49" t="n"/>
    </row>
    <row r="105" ht="12.8" customHeight="1" s="26">
      <c r="A105" t="inlineStr">
        <is>
          <t>s045</t>
        </is>
      </c>
      <c r="B105" t="n">
        <v>0</v>
      </c>
      <c r="C105" t="inlineStr">
        <is>
          <t>Echinacea (Rudbeckie nachová) nať řez. kg</t>
        </is>
      </c>
      <c r="G105" t="n">
        <v>225</v>
      </c>
      <c r="H105">
        <f>G105 * B105</f>
        <v/>
      </c>
      <c r="I105" t="n">
        <v>12</v>
      </c>
      <c r="J105">
        <f>252 * B105</f>
        <v/>
      </c>
    </row>
    <row r="106" ht="12.8" customHeight="1" s="26">
      <c r="A106" t="inlineStr">
        <is>
          <t>s045</t>
        </is>
      </c>
      <c r="B106" t="n">
        <v>0</v>
      </c>
      <c r="C106" t="inlineStr">
        <is>
          <t>Echinacea (Rudbeckie nachová) nať řez. kg</t>
        </is>
      </c>
      <c r="G106" t="n">
        <v>225</v>
      </c>
      <c r="H106">
        <f>G106 * B106</f>
        <v/>
      </c>
      <c r="I106" t="n">
        <v>12</v>
      </c>
      <c r="J106">
        <f>252 * B106</f>
        <v/>
      </c>
    </row>
    <row r="107" ht="12.8" customHeight="1" s="26">
      <c r="A107" t="inlineStr">
        <is>
          <t>s046</t>
        </is>
      </c>
      <c r="B107" t="n">
        <v>0</v>
      </c>
      <c r="C107" t="inlineStr">
        <is>
          <t>Eleuterokok ostnatý kořen řez. kg</t>
        </is>
      </c>
      <c r="G107" t="n">
        <v>522.3200000000001</v>
      </c>
      <c r="H107">
        <f>G107 * B107</f>
        <v/>
      </c>
      <c r="I107" t="n">
        <v>12</v>
      </c>
      <c r="J107">
        <f>585 * B107</f>
        <v/>
      </c>
    </row>
    <row r="108" ht="12.8" customHeight="1" s="26">
      <c r="A108" s="49" t="inlineStr">
        <is>
          <t>s0461</t>
        </is>
      </c>
      <c r="B108" s="49" t="inlineStr">
        <is>
          <t>-</t>
        </is>
      </c>
      <c r="C108" s="49" t="inlineStr">
        <is>
          <t>Estragon list (Pelyněk kozalec) řez. kg</t>
        </is>
      </c>
      <c r="D108" s="49" t="n"/>
      <c r="E108" s="49" t="n"/>
      <c r="F108" s="49" t="n"/>
      <c r="G108" s="49" t="n">
        <v>416.96</v>
      </c>
      <c r="H108" s="49" t="n"/>
      <c r="I108" s="49" t="n">
        <v>12</v>
      </c>
      <c r="J108" s="49" t="n"/>
      <c r="K108" s="49" t="n"/>
    </row>
    <row r="109" ht="12.8" customHeight="1" s="26">
      <c r="A109" t="inlineStr">
        <is>
          <t>s047</t>
        </is>
      </c>
      <c r="B109" t="n">
        <v>0</v>
      </c>
      <c r="C109" t="inlineStr">
        <is>
          <t>Eukalyptus (Blahovičník kulatoplodý) list řez. kg</t>
        </is>
      </c>
      <c r="G109" t="n">
        <v>284.82</v>
      </c>
      <c r="H109">
        <f>G109 * B109</f>
        <v/>
      </c>
      <c r="I109" t="n">
        <v>12</v>
      </c>
      <c r="J109">
        <f>319 * B109</f>
        <v/>
      </c>
    </row>
    <row r="110" ht="12.8" customHeight="1" s="26">
      <c r="A110" t="inlineStr">
        <is>
          <t>s047</t>
        </is>
      </c>
      <c r="B110" t="n">
        <v>0</v>
      </c>
      <c r="C110" t="inlineStr">
        <is>
          <t>Eukalyptus (Blahovičník kulatoplodý) list řez. kg</t>
        </is>
      </c>
      <c r="G110" t="n">
        <v>284.82</v>
      </c>
      <c r="H110">
        <f>G110 * B110</f>
        <v/>
      </c>
      <c r="I110" t="n">
        <v>12</v>
      </c>
      <c r="J110">
        <f>319 * B110</f>
        <v/>
      </c>
    </row>
    <row r="111" ht="12.8" customHeight="1" s="26">
      <c r="A111" t="inlineStr">
        <is>
          <t>s048</t>
        </is>
      </c>
      <c r="B111" t="n">
        <v>0</v>
      </c>
      <c r="C111" t="inlineStr">
        <is>
          <t>Fazole obecná plod bez semen řez. kg</t>
        </is>
      </c>
      <c r="G111" t="n">
        <v>203.57</v>
      </c>
      <c r="H111">
        <f>G111 * B111</f>
        <v/>
      </c>
      <c r="I111" t="n">
        <v>12</v>
      </c>
      <c r="J111">
        <f>228 * B111</f>
        <v/>
      </c>
    </row>
    <row r="112" ht="12.8" customHeight="1" s="26">
      <c r="A112" t="inlineStr">
        <is>
          <t>s049</t>
        </is>
      </c>
      <c r="B112" t="n">
        <v>0</v>
      </c>
      <c r="C112" t="inlineStr">
        <is>
          <t>Fenykl obecný plod celý kg</t>
        </is>
      </c>
      <c r="G112" t="n">
        <v>311.61</v>
      </c>
      <c r="H112">
        <f>G112 * B112</f>
        <v/>
      </c>
      <c r="I112" t="n">
        <v>12</v>
      </c>
      <c r="J112">
        <f>349 * B112</f>
        <v/>
      </c>
    </row>
    <row r="113" ht="12.8" customHeight="1" s="26">
      <c r="A113" t="inlineStr">
        <is>
          <t>s049</t>
        </is>
      </c>
      <c r="B113" t="n">
        <v>0</v>
      </c>
      <c r="C113" t="inlineStr">
        <is>
          <t>Fenykl obecný plod celý kg</t>
        </is>
      </c>
      <c r="G113" t="n">
        <v>311.61</v>
      </c>
      <c r="H113">
        <f>G113 * B113</f>
        <v/>
      </c>
      <c r="I113" t="n">
        <v>12</v>
      </c>
      <c r="J113">
        <f>349 * B113</f>
        <v/>
      </c>
    </row>
    <row r="114" ht="12.8" customHeight="1" s="26">
      <c r="A114" t="inlineStr">
        <is>
          <t>s050</t>
        </is>
      </c>
      <c r="B114" t="n">
        <v>0</v>
      </c>
      <c r="C114" t="inlineStr">
        <is>
          <t>Galgán lékařský oddenek řez. kg</t>
        </is>
      </c>
      <c r="G114" t="n">
        <v>765.1799999999999</v>
      </c>
      <c r="H114">
        <f>G114 * B114</f>
        <v/>
      </c>
      <c r="I114" t="n">
        <v>12</v>
      </c>
      <c r="J114">
        <f>857 * B114</f>
        <v/>
      </c>
    </row>
    <row r="115" ht="12.8" customHeight="1" s="26">
      <c r="A115" t="inlineStr">
        <is>
          <t>s0501</t>
        </is>
      </c>
      <c r="B115" t="n">
        <v>0</v>
      </c>
      <c r="C115" t="inlineStr">
        <is>
          <t>Gotu kola (Pupečník asijský) nať řez. kg</t>
        </is>
      </c>
      <c r="G115" t="n">
        <v>959.8200000000001</v>
      </c>
      <c r="H115">
        <f>G115 * B115</f>
        <v/>
      </c>
      <c r="I115" t="n">
        <v>12</v>
      </c>
      <c r="J115">
        <f>1075 * B115</f>
        <v/>
      </c>
    </row>
    <row r="116" ht="12.8" customHeight="1" s="26">
      <c r="A116" s="49" t="inlineStr">
        <is>
          <t>s051</t>
        </is>
      </c>
      <c r="B116" s="49" t="inlineStr">
        <is>
          <t>-</t>
        </is>
      </c>
      <c r="C116" s="49" t="inlineStr">
        <is>
          <t>Graviola anona list řez. kg</t>
        </is>
      </c>
      <c r="D116" s="49" t="n"/>
      <c r="E116" s="49" t="n"/>
      <c r="F116" s="49" t="n"/>
      <c r="G116" s="49" t="n">
        <v>600</v>
      </c>
      <c r="H116" s="49" t="n"/>
      <c r="I116" s="49" t="n">
        <v>12</v>
      </c>
      <c r="J116" s="49" t="n"/>
      <c r="K116" s="49" t="n"/>
    </row>
    <row r="117" ht="12.8" customHeight="1" s="26">
      <c r="A117" s="49" t="inlineStr">
        <is>
          <t>s052</t>
        </is>
      </c>
      <c r="B117" s="49" t="inlineStr">
        <is>
          <t>-</t>
        </is>
      </c>
      <c r="C117" s="49" t="inlineStr">
        <is>
          <t>Guarana paulinia plod celý kg</t>
        </is>
      </c>
      <c r="D117" s="49" t="n"/>
      <c r="E117" s="49" t="n"/>
      <c r="F117" s="49" t="n"/>
      <c r="G117" s="49" t="n">
        <v>1319.64</v>
      </c>
      <c r="H117" s="49" t="n"/>
      <c r="I117" s="49" t="n">
        <v>12</v>
      </c>
      <c r="J117" s="49" t="n"/>
      <c r="K117" s="49" t="n"/>
    </row>
    <row r="118" ht="12.8" customHeight="1" s="26">
      <c r="A118" t="inlineStr">
        <is>
          <t>s053</t>
        </is>
      </c>
      <c r="B118" t="n">
        <v>0</v>
      </c>
      <c r="C118" t="inlineStr">
        <is>
          <t>Heřmánek lékařský květ celý kg</t>
        </is>
      </c>
      <c r="G118" t="n">
        <v>822.3200000000001</v>
      </c>
      <c r="H118">
        <f>G118 * B118</f>
        <v/>
      </c>
      <c r="I118" t="n">
        <v>12</v>
      </c>
      <c r="J118">
        <f>921 * B118</f>
        <v/>
      </c>
    </row>
    <row r="119" ht="12.8" customHeight="1" s="26">
      <c r="A119" t="inlineStr">
        <is>
          <t>s054</t>
        </is>
      </c>
      <c r="B119" t="n">
        <v>0</v>
      </c>
      <c r="C119" t="inlineStr">
        <is>
          <t>Heřmánek římský květ celý kg</t>
        </is>
      </c>
      <c r="G119" t="n">
        <v>2580.36</v>
      </c>
      <c r="H119">
        <f>G119 * B119</f>
        <v/>
      </c>
      <c r="I119" t="n">
        <v>12</v>
      </c>
      <c r="J119">
        <f>2890 * B119</f>
        <v/>
      </c>
    </row>
    <row r="120" ht="12.8" customHeight="1" s="26">
      <c r="A120" s="49" t="inlineStr">
        <is>
          <t>s055</t>
        </is>
      </c>
      <c r="B120" s="49" t="inlineStr">
        <is>
          <t>-</t>
        </is>
      </c>
      <c r="C120" s="49" t="inlineStr">
        <is>
          <t>Hloh obecný květ řez. kg</t>
        </is>
      </c>
      <c r="D120" s="49" t="n"/>
      <c r="E120" s="49" t="n"/>
      <c r="F120" s="49" t="n"/>
      <c r="G120" s="49" t="n">
        <v>1184.82</v>
      </c>
      <c r="H120" s="49" t="n"/>
      <c r="I120" s="49" t="n">
        <v>12</v>
      </c>
      <c r="J120" s="49" t="n"/>
      <c r="K120" s="49" t="n"/>
    </row>
    <row r="121" ht="12.8" customHeight="1" s="26">
      <c r="A121" t="inlineStr">
        <is>
          <t>s056</t>
        </is>
      </c>
      <c r="B121" t="n">
        <v>0</v>
      </c>
      <c r="C121" t="inlineStr">
        <is>
          <t>Hloh obecný list s květem řez. kg</t>
        </is>
      </c>
      <c r="G121" t="n">
        <v>423.21</v>
      </c>
      <c r="H121">
        <f>G121 * B121</f>
        <v/>
      </c>
      <c r="I121" t="n">
        <v>12</v>
      </c>
      <c r="J121">
        <f>474 * B121</f>
        <v/>
      </c>
    </row>
    <row r="122" ht="12.8" customHeight="1" s="26">
      <c r="A122" t="inlineStr">
        <is>
          <t>s056</t>
        </is>
      </c>
      <c r="B122" t="n">
        <v>0</v>
      </c>
      <c r="C122" t="inlineStr">
        <is>
          <t>Hloh obecný list s květem řez. kg</t>
        </is>
      </c>
      <c r="G122" t="n">
        <v>423.21</v>
      </c>
      <c r="H122">
        <f>G122 * B122</f>
        <v/>
      </c>
      <c r="I122" t="n">
        <v>12</v>
      </c>
      <c r="J122">
        <f>474 * B122</f>
        <v/>
      </c>
    </row>
    <row r="123" ht="12.8" customHeight="1" s="26">
      <c r="A123" t="inlineStr">
        <is>
          <t>s057</t>
        </is>
      </c>
      <c r="B123" t="n">
        <v>0</v>
      </c>
      <c r="C123" t="inlineStr">
        <is>
          <t>Hloh obecný plod celý kg</t>
        </is>
      </c>
      <c r="G123" t="n">
        <v>233.93</v>
      </c>
      <c r="H123">
        <f>G123 * B123</f>
        <v/>
      </c>
      <c r="I123" t="n">
        <v>12</v>
      </c>
      <c r="J123">
        <f>262 * B123</f>
        <v/>
      </c>
    </row>
    <row r="124" ht="12.8" customHeight="1" s="26">
      <c r="A124" t="inlineStr">
        <is>
          <t>s057</t>
        </is>
      </c>
      <c r="B124" t="n">
        <v>0</v>
      </c>
      <c r="C124" t="inlineStr">
        <is>
          <t>Hloh obecný plod celý kg</t>
        </is>
      </c>
      <c r="G124" t="n">
        <v>233.93</v>
      </c>
      <c r="H124">
        <f>G124 * B124</f>
        <v/>
      </c>
      <c r="I124" t="n">
        <v>12</v>
      </c>
      <c r="J124">
        <f>262 * B124</f>
        <v/>
      </c>
    </row>
    <row r="125" ht="12.8" customHeight="1" s="26">
      <c r="A125" t="inlineStr">
        <is>
          <t>s058</t>
        </is>
      </c>
      <c r="B125" t="n">
        <v>0</v>
      </c>
      <c r="C125" t="inlineStr">
        <is>
          <t>Hluchavka bílá květ celý kg</t>
        </is>
      </c>
      <c r="G125" t="n">
        <v>10350</v>
      </c>
      <c r="H125">
        <f>G125 * B125</f>
        <v/>
      </c>
      <c r="I125" t="n">
        <v>12</v>
      </c>
      <c r="J125">
        <f>11592 * B125</f>
        <v/>
      </c>
    </row>
    <row r="126" ht="12.8" customHeight="1" s="26">
      <c r="A126" t="inlineStr">
        <is>
          <t>s059</t>
        </is>
      </c>
      <c r="B126" t="n">
        <v>0</v>
      </c>
      <c r="C126" t="inlineStr">
        <is>
          <t>Hluchavka bílá nať řez. kg</t>
        </is>
      </c>
      <c r="G126" t="n">
        <v>396.43</v>
      </c>
      <c r="H126">
        <f>G126 * B126</f>
        <v/>
      </c>
      <c r="I126" t="n">
        <v>12</v>
      </c>
      <c r="J126">
        <f>444 * B126</f>
        <v/>
      </c>
    </row>
    <row r="127" ht="12.8" customHeight="1" s="26">
      <c r="A127" t="inlineStr">
        <is>
          <t>s060</t>
        </is>
      </c>
      <c r="B127" t="n">
        <v>0</v>
      </c>
      <c r="C127" t="inlineStr">
        <is>
          <t>Honeybush kg</t>
        </is>
      </c>
      <c r="G127" t="n">
        <v>750</v>
      </c>
      <c r="H127">
        <f>G127 * B127</f>
        <v/>
      </c>
      <c r="I127" t="n">
        <v>12</v>
      </c>
      <c r="J127">
        <f>840 * B127</f>
        <v/>
      </c>
    </row>
    <row r="128" ht="12.8" customHeight="1" s="26">
      <c r="A128" t="inlineStr">
        <is>
          <t>s061</t>
        </is>
      </c>
      <c r="B128" t="n">
        <v>0</v>
      </c>
      <c r="C128" t="inlineStr">
        <is>
          <t>Hořčice bílá semeno celé kg</t>
        </is>
      </c>
      <c r="G128" t="n">
        <v>176.79</v>
      </c>
      <c r="H128">
        <f>G128 * B128</f>
        <v/>
      </c>
      <c r="I128" t="n">
        <v>12</v>
      </c>
      <c r="J128">
        <f>198 * B128</f>
        <v/>
      </c>
    </row>
    <row r="129" ht="12.8" customHeight="1" s="26">
      <c r="A129" t="inlineStr">
        <is>
          <t>s062</t>
        </is>
      </c>
      <c r="B129" t="n">
        <v>0</v>
      </c>
      <c r="C129" t="inlineStr">
        <is>
          <t>Hořčice černá semeno celé kg</t>
        </is>
      </c>
      <c r="G129" t="n">
        <v>165.18</v>
      </c>
      <c r="H129">
        <f>G129 * B129</f>
        <v/>
      </c>
      <c r="I129" t="n">
        <v>12</v>
      </c>
      <c r="J129">
        <f>185 * B129</f>
        <v/>
      </c>
    </row>
    <row r="130" ht="12.8" customHeight="1" s="26">
      <c r="A130" t="inlineStr">
        <is>
          <t>s063</t>
        </is>
      </c>
      <c r="B130" t="n">
        <v>0</v>
      </c>
      <c r="C130" t="inlineStr">
        <is>
          <t>Hořec žlutý kořen řez. kg</t>
        </is>
      </c>
      <c r="G130" t="n">
        <v>1703.57</v>
      </c>
      <c r="H130">
        <f>G130 * B130</f>
        <v/>
      </c>
      <c r="I130" t="n">
        <v>12</v>
      </c>
      <c r="J130">
        <f>1908 * B130</f>
        <v/>
      </c>
    </row>
    <row r="131" ht="12.8" customHeight="1" s="26">
      <c r="A131" s="49" t="inlineStr">
        <is>
          <t>s064</t>
        </is>
      </c>
      <c r="B131" s="49" t="inlineStr">
        <is>
          <t>-</t>
        </is>
      </c>
      <c r="C131" s="49" t="inlineStr">
        <is>
          <t>Hřebíček (Hřebíčkovec kořenný) květ celý kg</t>
        </is>
      </c>
      <c r="D131" s="49" t="n"/>
      <c r="E131" s="49" t="n"/>
      <c r="F131" s="49" t="n"/>
      <c r="G131" s="49" t="n">
        <v>972.3200000000001</v>
      </c>
      <c r="H131" s="49" t="n"/>
      <c r="I131" s="49" t="n">
        <v>12</v>
      </c>
      <c r="J131" s="49" t="n"/>
      <c r="K131" s="49" t="n"/>
    </row>
    <row r="132" ht="12.8" customHeight="1" s="26">
      <c r="A132" t="inlineStr">
        <is>
          <t>s065</t>
        </is>
      </c>
      <c r="B132" t="n">
        <v>0</v>
      </c>
      <c r="C132" t="inlineStr">
        <is>
          <t>Chaluha bublinatá řez. kg</t>
        </is>
      </c>
      <c r="G132" t="n">
        <v>533.9299999999999</v>
      </c>
      <c r="H132">
        <f>G132 * B132</f>
        <v/>
      </c>
      <c r="I132" t="n">
        <v>12</v>
      </c>
      <c r="J132">
        <f>598 * B132</f>
        <v/>
      </c>
    </row>
    <row r="133" ht="12.8" customHeight="1" s="26">
      <c r="A133" t="inlineStr">
        <is>
          <t>s065</t>
        </is>
      </c>
      <c r="B133" t="n">
        <v>0</v>
      </c>
      <c r="C133" t="inlineStr">
        <is>
          <t>Chaluha bublinatá řez. kg</t>
        </is>
      </c>
      <c r="G133" t="n">
        <v>533.9299999999999</v>
      </c>
      <c r="H133">
        <f>G133 * B133</f>
        <v/>
      </c>
      <c r="I133" t="n">
        <v>12</v>
      </c>
      <c r="J133">
        <f>598 * B133</f>
        <v/>
      </c>
    </row>
    <row r="134" ht="12.8" customHeight="1" s="26">
      <c r="A134" s="49" t="inlineStr">
        <is>
          <t>s066</t>
        </is>
      </c>
      <c r="B134" s="49" t="inlineStr">
        <is>
          <t>-</t>
        </is>
      </c>
      <c r="C134" s="49" t="inlineStr">
        <is>
          <t>Chinovník lékařský kůra řez. kg</t>
        </is>
      </c>
      <c r="D134" s="49" t="n"/>
      <c r="E134" s="49" t="n"/>
      <c r="F134" s="49" t="n"/>
      <c r="G134" s="49" t="n">
        <v>516.0700000000001</v>
      </c>
      <c r="H134" s="49" t="n"/>
      <c r="I134" s="49" t="n">
        <v>12</v>
      </c>
      <c r="J134" s="49" t="n"/>
      <c r="K134" s="49" t="n"/>
    </row>
    <row r="135" ht="12.8" customHeight="1" s="26">
      <c r="A135" t="inlineStr">
        <is>
          <t>s067</t>
        </is>
      </c>
      <c r="B135" t="n">
        <v>0</v>
      </c>
      <c r="C135" t="inlineStr">
        <is>
          <t>Chmel otáčivý šištice řez. kg</t>
        </is>
      </c>
      <c r="G135" t="n">
        <v>564.29</v>
      </c>
      <c r="H135">
        <f>G135 * B135</f>
        <v/>
      </c>
      <c r="I135" t="n">
        <v>12</v>
      </c>
      <c r="J135">
        <f>632 * B135</f>
        <v/>
      </c>
    </row>
    <row r="136" ht="12.8" customHeight="1" s="26">
      <c r="A136" s="49" t="inlineStr">
        <is>
          <t>s0671</t>
        </is>
      </c>
      <c r="B136" s="49" t="inlineStr">
        <is>
          <t>-</t>
        </is>
      </c>
      <c r="C136" s="49" t="inlineStr">
        <is>
          <t>Chrpa modrák květ bez zákrovu celý kg</t>
        </is>
      </c>
      <c r="D136" s="49" t="n"/>
      <c r="E136" s="49" t="n"/>
      <c r="F136" s="49" t="n"/>
      <c r="G136" s="49" t="n">
        <v>2340.18</v>
      </c>
      <c r="H136" s="49" t="n"/>
      <c r="I136" s="49" t="n">
        <v>12</v>
      </c>
      <c r="J136" s="49" t="n"/>
      <c r="K136" s="49" t="n"/>
    </row>
    <row r="137" ht="12.8" customHeight="1" s="26">
      <c r="A137" s="49" t="inlineStr">
        <is>
          <t>s068</t>
        </is>
      </c>
      <c r="B137" s="49" t="inlineStr">
        <is>
          <t>-</t>
        </is>
      </c>
      <c r="C137" s="49" t="inlineStr">
        <is>
          <t>Chrpa modrák květ se zákrovem celý kg</t>
        </is>
      </c>
      <c r="D137" s="49" t="n"/>
      <c r="E137" s="49" t="n"/>
      <c r="F137" s="49" t="n"/>
      <c r="G137" s="49" t="n">
        <v>780.36</v>
      </c>
      <c r="H137" s="49" t="n"/>
      <c r="I137" s="49" t="n">
        <v>12</v>
      </c>
      <c r="J137" s="49" t="n"/>
      <c r="K137" s="49" t="n"/>
    </row>
    <row r="138" ht="12.8" customHeight="1" s="26">
      <c r="A138" t="inlineStr">
        <is>
          <t>s069</t>
        </is>
      </c>
      <c r="B138" t="n">
        <v>0</v>
      </c>
      <c r="C138" t="inlineStr">
        <is>
          <t>Ibišek sudánský květ (Karkade) řez. kg</t>
        </is>
      </c>
      <c r="G138" t="n">
        <v>476.79</v>
      </c>
      <c r="H138">
        <f>G138 * B138</f>
        <v/>
      </c>
      <c r="I138" t="n">
        <v>12</v>
      </c>
      <c r="J138">
        <f>534 * B138</f>
        <v/>
      </c>
    </row>
    <row r="139" ht="12.8" customHeight="1" s="26">
      <c r="A139" t="inlineStr">
        <is>
          <t>s070</t>
        </is>
      </c>
      <c r="B139" t="n">
        <v>0</v>
      </c>
      <c r="C139" t="inlineStr">
        <is>
          <t>Jablečník obecný nať řez. kg</t>
        </is>
      </c>
      <c r="G139" t="n">
        <v>255.36</v>
      </c>
      <c r="H139">
        <f>G139 * B139</f>
        <v/>
      </c>
      <c r="I139" t="n">
        <v>12</v>
      </c>
      <c r="J139">
        <f>286 * B139</f>
        <v/>
      </c>
    </row>
    <row r="140" ht="12.8" customHeight="1" s="26">
      <c r="A140" t="inlineStr">
        <is>
          <t>s071</t>
        </is>
      </c>
      <c r="B140" t="n">
        <v>0</v>
      </c>
      <c r="C140" t="inlineStr">
        <is>
          <t>Jablko plod kostky řez. kg</t>
        </is>
      </c>
      <c r="G140" t="n">
        <v>275.89</v>
      </c>
      <c r="H140">
        <f>G140 * B140</f>
        <v/>
      </c>
      <c r="I140" t="n">
        <v>12</v>
      </c>
      <c r="J140">
        <f>309 * B140</f>
        <v/>
      </c>
    </row>
    <row r="141" ht="12.8" customHeight="1" s="26">
      <c r="A141" t="inlineStr">
        <is>
          <t>s072</t>
        </is>
      </c>
      <c r="B141" t="n">
        <v>0</v>
      </c>
      <c r="C141" t="inlineStr">
        <is>
          <t>Jahodník obecný list řez. kg</t>
        </is>
      </c>
      <c r="G141" t="n">
        <v>386.61</v>
      </c>
      <c r="H141">
        <f>G141 * B141</f>
        <v/>
      </c>
      <c r="I141" t="n">
        <v>12</v>
      </c>
      <c r="J141">
        <f>433 * B141</f>
        <v/>
      </c>
    </row>
    <row r="142" ht="12.8" customHeight="1" s="26">
      <c r="A142" t="inlineStr">
        <is>
          <t>s072</t>
        </is>
      </c>
      <c r="B142" t="n">
        <v>0</v>
      </c>
      <c r="C142" t="inlineStr">
        <is>
          <t>Jahodník obecný list řez. kg</t>
        </is>
      </c>
      <c r="G142" t="n">
        <v>386.61</v>
      </c>
      <c r="H142">
        <f>G142 * B142</f>
        <v/>
      </c>
      <c r="I142" t="n">
        <v>12</v>
      </c>
      <c r="J142">
        <f>433 * B142</f>
        <v/>
      </c>
    </row>
    <row r="143" ht="12.8" customHeight="1" s="26">
      <c r="A143" t="inlineStr">
        <is>
          <t>s073</t>
        </is>
      </c>
      <c r="B143" t="n">
        <v>0</v>
      </c>
      <c r="C143" t="inlineStr">
        <is>
          <t>Jalovec obecný plod celý kg</t>
        </is>
      </c>
      <c r="G143" t="n">
        <v>507.14</v>
      </c>
      <c r="H143">
        <f>G143 * B143</f>
        <v/>
      </c>
      <c r="I143" t="n">
        <v>12</v>
      </c>
      <c r="J143">
        <f>568 * B143</f>
        <v/>
      </c>
    </row>
    <row r="144" ht="12.8" customHeight="1" s="26">
      <c r="A144" t="inlineStr">
        <is>
          <t>s073</t>
        </is>
      </c>
      <c r="B144" t="n">
        <v>0</v>
      </c>
      <c r="C144" t="inlineStr">
        <is>
          <t>Jalovec obecný plod celý kg</t>
        </is>
      </c>
      <c r="G144" t="n">
        <v>507.14</v>
      </c>
      <c r="H144">
        <f>G144 * B144</f>
        <v/>
      </c>
      <c r="I144" t="n">
        <v>12</v>
      </c>
      <c r="J144">
        <f>568 * B144</f>
        <v/>
      </c>
    </row>
    <row r="145" ht="12.8" customHeight="1" s="26">
      <c r="A145" s="49" t="inlineStr">
        <is>
          <t>s074</t>
        </is>
      </c>
      <c r="B145" s="49" t="inlineStr">
        <is>
          <t>-</t>
        </is>
      </c>
      <c r="C145" s="49" t="inlineStr">
        <is>
          <t>Jalovec plod červený celý kg</t>
        </is>
      </c>
      <c r="D145" s="49" t="n"/>
      <c r="E145" s="49" t="n"/>
      <c r="F145" s="49" t="n"/>
      <c r="G145" s="49" t="n">
        <v>194.64</v>
      </c>
      <c r="H145" s="49" t="n"/>
      <c r="I145" s="49" t="n">
        <v>12</v>
      </c>
      <c r="J145" s="49" t="n"/>
      <c r="K145" s="49" t="n"/>
    </row>
    <row r="146" ht="12.8" customHeight="1" s="26">
      <c r="A146" s="49" t="inlineStr">
        <is>
          <t>s075</t>
        </is>
      </c>
      <c r="B146" s="49" t="inlineStr">
        <is>
          <t>-</t>
        </is>
      </c>
      <c r="C146" s="49" t="inlineStr">
        <is>
          <t>Jasan ztepilý list řez. kg</t>
        </is>
      </c>
      <c r="D146" s="49" t="n"/>
      <c r="E146" s="49" t="n"/>
      <c r="F146" s="49" t="n"/>
      <c r="G146" s="49" t="n">
        <v>209.82</v>
      </c>
      <c r="H146" s="49" t="n"/>
      <c r="I146" s="49" t="n">
        <v>12</v>
      </c>
      <c r="J146" s="49" t="n"/>
      <c r="K146" s="49" t="n"/>
    </row>
    <row r="147" ht="12.8" customHeight="1" s="26">
      <c r="A147" t="inlineStr">
        <is>
          <t>s076</t>
        </is>
      </c>
      <c r="B147" t="n">
        <v>0</v>
      </c>
      <c r="C147" t="inlineStr">
        <is>
          <t>Jasmín křovitý květ celý kg</t>
        </is>
      </c>
      <c r="G147" t="n">
        <v>794.64</v>
      </c>
      <c r="H147">
        <f>G147 * B147</f>
        <v/>
      </c>
      <c r="I147" t="n">
        <v>12</v>
      </c>
      <c r="J147">
        <f>890 * B147</f>
        <v/>
      </c>
    </row>
    <row r="148" ht="12.8" customHeight="1" s="26">
      <c r="A148" t="inlineStr">
        <is>
          <t>s077</t>
        </is>
      </c>
      <c r="B148" t="n">
        <v>0</v>
      </c>
      <c r="C148" t="inlineStr">
        <is>
          <t>Jehlice trnitá kořen řez. kg</t>
        </is>
      </c>
      <c r="G148" t="n">
        <v>264.29</v>
      </c>
      <c r="H148">
        <f>G148 * B148</f>
        <v/>
      </c>
      <c r="I148" t="n">
        <v>12</v>
      </c>
      <c r="J148">
        <f>296 * B148</f>
        <v/>
      </c>
    </row>
    <row r="149" ht="12.8" customHeight="1" s="26">
      <c r="A149" t="inlineStr">
        <is>
          <t>s078</t>
        </is>
      </c>
      <c r="B149" t="n">
        <v>0</v>
      </c>
      <c r="C149" t="inlineStr">
        <is>
          <t>Jeřabina černá plod (aronie) celý kg</t>
        </is>
      </c>
      <c r="G149" t="n">
        <v>315.18</v>
      </c>
      <c r="H149">
        <f>G149 * B149</f>
        <v/>
      </c>
      <c r="I149" t="n">
        <v>12</v>
      </c>
      <c r="J149">
        <f>353 * B149</f>
        <v/>
      </c>
    </row>
    <row r="150" ht="12.8" customHeight="1" s="26">
      <c r="A150" t="inlineStr">
        <is>
          <t>s079</t>
        </is>
      </c>
      <c r="B150" t="n">
        <v>0</v>
      </c>
      <c r="C150" t="inlineStr">
        <is>
          <t>Jeřabina červená plod celý kg</t>
        </is>
      </c>
      <c r="G150" t="n">
        <v>335.71</v>
      </c>
      <c r="H150">
        <f>G150 * B150</f>
        <v/>
      </c>
      <c r="I150" t="n">
        <v>12</v>
      </c>
      <c r="J150">
        <f>376 * B150</f>
        <v/>
      </c>
    </row>
    <row r="151" ht="12.8" customHeight="1" s="26">
      <c r="A151" t="inlineStr">
        <is>
          <t>s080</t>
        </is>
      </c>
      <c r="B151" t="n">
        <v>0</v>
      </c>
      <c r="C151" t="inlineStr">
        <is>
          <t>Jestřabina lékařská nať řez. kg</t>
        </is>
      </c>
      <c r="G151" t="n">
        <v>255.36</v>
      </c>
      <c r="H151">
        <f>G151 * B151</f>
        <v/>
      </c>
      <c r="I151" t="n">
        <v>12</v>
      </c>
      <c r="J151">
        <f>286 * B151</f>
        <v/>
      </c>
    </row>
    <row r="152" ht="12.8" customHeight="1" s="26">
      <c r="A152" s="49" t="inlineStr">
        <is>
          <t>s081</t>
        </is>
      </c>
      <c r="B152" s="49" t="inlineStr">
        <is>
          <t>-</t>
        </is>
      </c>
      <c r="C152" s="49" t="inlineStr">
        <is>
          <t>Jetel rolní (bílý) květ celý kg</t>
        </is>
      </c>
      <c r="D152" s="49" t="n"/>
      <c r="E152" s="49" t="n"/>
      <c r="F152" s="49" t="n"/>
      <c r="G152" s="49" t="n">
        <v>300</v>
      </c>
      <c r="H152" s="49" t="n"/>
      <c r="I152" s="49" t="n">
        <v>12</v>
      </c>
      <c r="J152" s="49" t="n"/>
      <c r="K152" s="49" t="n"/>
    </row>
    <row r="153" ht="12.8" customHeight="1" s="26">
      <c r="A153" s="49" t="inlineStr">
        <is>
          <t>s081</t>
        </is>
      </c>
      <c r="B153" s="49" t="inlineStr">
        <is>
          <t>-</t>
        </is>
      </c>
      <c r="C153" s="49" t="inlineStr">
        <is>
          <t>Jetel rolní (bílý) květ celý kg</t>
        </is>
      </c>
      <c r="D153" s="49" t="n"/>
      <c r="E153" s="49" t="n"/>
      <c r="F153" s="49" t="n"/>
      <c r="G153" s="49" t="n">
        <v>300</v>
      </c>
      <c r="H153" s="49" t="n"/>
      <c r="I153" s="49" t="n">
        <v>12</v>
      </c>
      <c r="J153" s="49" t="n"/>
      <c r="K153" s="49" t="n"/>
    </row>
    <row r="154" ht="12.8" customHeight="1" s="26">
      <c r="A154" s="49" t="inlineStr">
        <is>
          <t>s082</t>
        </is>
      </c>
      <c r="B154" s="49" t="inlineStr">
        <is>
          <t>-</t>
        </is>
      </c>
      <c r="C154" s="49" t="inlineStr">
        <is>
          <t>Jetel červený květ celý kg</t>
        </is>
      </c>
      <c r="D154" s="49" t="n"/>
      <c r="E154" s="49" t="n"/>
      <c r="F154" s="49" t="n"/>
      <c r="G154" s="49" t="n">
        <v>507.14</v>
      </c>
      <c r="H154" s="49" t="n"/>
      <c r="I154" s="49" t="n">
        <v>12</v>
      </c>
      <c r="J154" s="49" t="n"/>
      <c r="K154" s="49" t="n"/>
    </row>
    <row r="155" ht="12.8" customHeight="1" s="26">
      <c r="A155" t="inlineStr">
        <is>
          <t>s083</t>
        </is>
      </c>
      <c r="B155" t="n">
        <v>0</v>
      </c>
      <c r="C155" t="inlineStr">
        <is>
          <t>Jinan dvoulaločný list řez. kg</t>
        </is>
      </c>
      <c r="G155" t="n">
        <v>405.36</v>
      </c>
      <c r="H155">
        <f>G155 * B155</f>
        <v/>
      </c>
      <c r="I155" t="n">
        <v>12</v>
      </c>
      <c r="J155">
        <f>454 * B155</f>
        <v/>
      </c>
    </row>
    <row r="156" ht="12.8" customHeight="1" s="26">
      <c r="A156" t="inlineStr">
        <is>
          <t>s083</t>
        </is>
      </c>
      <c r="B156" t="n">
        <v>0</v>
      </c>
      <c r="C156" t="inlineStr">
        <is>
          <t>Jinan dvoulaločný list řez. kg</t>
        </is>
      </c>
      <c r="G156" t="n">
        <v>405.36</v>
      </c>
      <c r="H156">
        <f>G156 * B156</f>
        <v/>
      </c>
      <c r="I156" t="n">
        <v>12</v>
      </c>
      <c r="J156">
        <f>454 * B156</f>
        <v/>
      </c>
    </row>
    <row r="157" ht="12.8" customHeight="1" s="26">
      <c r="A157" t="inlineStr">
        <is>
          <t>s084</t>
        </is>
      </c>
      <c r="B157" t="n">
        <v>0</v>
      </c>
      <c r="C157" t="inlineStr">
        <is>
          <t>Jitrocel kopinatý list řez. kg</t>
        </is>
      </c>
      <c r="G157" t="n">
        <v>236.61</v>
      </c>
      <c r="H157">
        <f>G157 * B157</f>
        <v/>
      </c>
      <c r="I157" t="n">
        <v>12</v>
      </c>
      <c r="J157">
        <f>265 * B157</f>
        <v/>
      </c>
    </row>
    <row r="158" ht="12.8" customHeight="1" s="26">
      <c r="A158" t="inlineStr">
        <is>
          <t>s084</t>
        </is>
      </c>
      <c r="B158" t="n">
        <v>0</v>
      </c>
      <c r="C158" t="inlineStr">
        <is>
          <t>Jitrocel kopinatý list řez. kg</t>
        </is>
      </c>
      <c r="G158" t="n">
        <v>236.61</v>
      </c>
      <c r="H158">
        <f>G158 * B158</f>
        <v/>
      </c>
      <c r="I158" t="n">
        <v>12</v>
      </c>
      <c r="J158">
        <f>265 * B158</f>
        <v/>
      </c>
    </row>
    <row r="159" ht="12.8" customHeight="1" s="26">
      <c r="A159" t="inlineStr">
        <is>
          <t>s085</t>
        </is>
      </c>
      <c r="B159" t="n">
        <v>0</v>
      </c>
      <c r="C159" t="inlineStr">
        <is>
          <t>Jmelí bílé nať řez. kg</t>
        </is>
      </c>
      <c r="G159" t="n">
        <v>180.36</v>
      </c>
      <c r="H159">
        <f>G159 * B159</f>
        <v/>
      </c>
      <c r="I159" t="n">
        <v>12</v>
      </c>
      <c r="J159">
        <f>202 * B159</f>
        <v/>
      </c>
    </row>
    <row r="160" ht="12.8" customHeight="1" s="26">
      <c r="A160" t="inlineStr">
        <is>
          <t>s087</t>
        </is>
      </c>
      <c r="B160" t="n">
        <v>0</v>
      </c>
      <c r="C160" t="inlineStr">
        <is>
          <t>Kakost smrdutý nať řez. kg</t>
        </is>
      </c>
      <c r="G160" t="n">
        <v>507.14</v>
      </c>
      <c r="H160">
        <f>G160 * B160</f>
        <v/>
      </c>
      <c r="I160" t="n">
        <v>12</v>
      </c>
      <c r="J160">
        <f>568 * B160</f>
        <v/>
      </c>
    </row>
    <row r="161" ht="12.8" customHeight="1" s="26">
      <c r="A161" s="49" t="inlineStr">
        <is>
          <t>s088</t>
        </is>
      </c>
      <c r="B161" s="49" t="inlineStr">
        <is>
          <t>-</t>
        </is>
      </c>
      <c r="C161" s="49" t="inlineStr">
        <is>
          <t>Karbinec evropský nať řez. kg</t>
        </is>
      </c>
      <c r="D161" s="49" t="n"/>
      <c r="E161" s="49" t="n"/>
      <c r="F161" s="49" t="n"/>
      <c r="G161" s="49" t="n">
        <v>503.57</v>
      </c>
      <c r="H161" s="49" t="n"/>
      <c r="I161" s="49" t="n">
        <v>12</v>
      </c>
      <c r="J161" s="49" t="n"/>
      <c r="K161" s="49" t="n"/>
    </row>
    <row r="162" ht="12.8" customHeight="1" s="26">
      <c r="A162" s="49" t="inlineStr">
        <is>
          <t>s089</t>
        </is>
      </c>
      <c r="B162" s="49" t="inlineStr">
        <is>
          <t>-</t>
        </is>
      </c>
      <c r="C162" s="49" t="inlineStr">
        <is>
          <t>Kardamom obecný plod celý kg</t>
        </is>
      </c>
      <c r="D162" s="49" t="n"/>
      <c r="E162" s="49" t="n"/>
      <c r="F162" s="49" t="n"/>
      <c r="G162" s="49" t="n">
        <v>1769.64</v>
      </c>
      <c r="H162" s="49" t="n"/>
      <c r="I162" s="49" t="n">
        <v>12</v>
      </c>
      <c r="J162" s="49" t="n"/>
      <c r="K162" s="49" t="n"/>
    </row>
    <row r="163" ht="12.8" customHeight="1" s="26">
      <c r="A163" t="inlineStr">
        <is>
          <t>s090</t>
        </is>
      </c>
      <c r="B163" t="n">
        <v>0</v>
      </c>
      <c r="C163" t="inlineStr">
        <is>
          <t>Kaštan koňský květ řez. kg</t>
        </is>
      </c>
      <c r="G163" t="n">
        <v>719.64</v>
      </c>
      <c r="H163">
        <f>G163 * B163</f>
        <v/>
      </c>
      <c r="I163" t="n">
        <v>12</v>
      </c>
      <c r="J163">
        <f>806 * B163</f>
        <v/>
      </c>
    </row>
    <row r="164" ht="12.8" customHeight="1" s="26">
      <c r="A164" s="49" t="inlineStr">
        <is>
          <t>s091</t>
        </is>
      </c>
      <c r="B164" s="49" t="inlineStr">
        <is>
          <t>-</t>
        </is>
      </c>
      <c r="C164" s="49" t="inlineStr">
        <is>
          <t>Kaštan koňský plod řez. kg</t>
        </is>
      </c>
      <c r="D164" s="49" t="n"/>
      <c r="E164" s="49" t="n"/>
      <c r="F164" s="49" t="n"/>
      <c r="G164" s="49" t="n">
        <v>50.89</v>
      </c>
      <c r="H164" s="49" t="n"/>
      <c r="I164" s="49" t="n">
        <v>12</v>
      </c>
      <c r="J164" s="49" t="n"/>
      <c r="K164" s="49" t="n"/>
    </row>
    <row r="165" ht="12.8" customHeight="1" s="26">
      <c r="A165" s="49" t="inlineStr">
        <is>
          <t>s0911</t>
        </is>
      </c>
      <c r="B165" s="49" t="inlineStr">
        <is>
          <t>-</t>
        </is>
      </c>
      <c r="C165" s="49" t="inlineStr">
        <is>
          <t>Kerblík třebule list řez. kg</t>
        </is>
      </c>
      <c r="D165" s="49" t="n"/>
      <c r="E165" s="49" t="n"/>
      <c r="F165" s="49" t="n"/>
      <c r="G165" s="49" t="n">
        <v>419.64</v>
      </c>
      <c r="H165" s="49" t="n"/>
      <c r="I165" s="49" t="n">
        <v>12</v>
      </c>
      <c r="J165" s="49" t="n"/>
      <c r="K165" s="49" t="n"/>
    </row>
    <row r="166" ht="12.8" customHeight="1" s="26">
      <c r="A166" s="49" t="inlineStr">
        <is>
          <t>s093</t>
        </is>
      </c>
      <c r="B166" s="49" t="inlineStr">
        <is>
          <t>-</t>
        </is>
      </c>
      <c r="C166" s="49" t="inlineStr">
        <is>
          <t>Kmín černý (Černucha setá) plod celý kg</t>
        </is>
      </c>
      <c r="D166" s="49" t="n"/>
      <c r="E166" s="49" t="n"/>
      <c r="F166" s="49" t="n"/>
      <c r="G166" s="49" t="n">
        <v>494.64</v>
      </c>
      <c r="H166" s="49" t="n"/>
      <c r="I166" s="49" t="n">
        <v>12</v>
      </c>
      <c r="J166" s="49" t="n"/>
      <c r="K166" s="49" t="n"/>
    </row>
    <row r="167" ht="12.8" customHeight="1" s="26">
      <c r="A167" s="49" t="inlineStr">
        <is>
          <t>s0931</t>
        </is>
      </c>
      <c r="B167" s="49" t="inlineStr">
        <is>
          <t>-</t>
        </is>
      </c>
      <c r="C167" s="49" t="inlineStr">
        <is>
          <t>Kmín kořenný plod celý kg</t>
        </is>
      </c>
      <c r="D167" s="49" t="n"/>
      <c r="E167" s="49" t="n"/>
      <c r="F167" s="49" t="n"/>
      <c r="G167" s="49" t="n">
        <v>116.96</v>
      </c>
      <c r="H167" s="49" t="n"/>
      <c r="I167" s="49" t="n">
        <v>12</v>
      </c>
      <c r="J167" s="49" t="n"/>
      <c r="K167" s="49" t="n"/>
    </row>
    <row r="168" ht="12.8" customHeight="1" s="26">
      <c r="A168" s="49" t="inlineStr">
        <is>
          <t>s0933</t>
        </is>
      </c>
      <c r="B168" s="49" t="inlineStr">
        <is>
          <t>-</t>
        </is>
      </c>
      <c r="C168" s="49" t="inlineStr">
        <is>
          <t>Kmín římský plod (Šabrej kmínovitý) celý kg</t>
        </is>
      </c>
      <c r="D168" s="49" t="n"/>
      <c r="E168" s="49" t="n"/>
      <c r="F168" s="49" t="n"/>
      <c r="G168" s="49" t="n">
        <v>326.79</v>
      </c>
      <c r="H168" s="49" t="n"/>
      <c r="I168" s="49" t="n">
        <v>12</v>
      </c>
      <c r="J168" s="49" t="n"/>
      <c r="K168" s="49" t="n"/>
    </row>
    <row r="169" ht="12.8" customHeight="1" s="26">
      <c r="A169" t="inlineStr">
        <is>
          <t>s094</t>
        </is>
      </c>
      <c r="B169" t="n">
        <v>0</v>
      </c>
      <c r="C169" t="inlineStr">
        <is>
          <t>Kokoška pastuší tobolka nať řez. kg</t>
        </is>
      </c>
      <c r="G169" t="n">
        <v>200.89</v>
      </c>
      <c r="H169">
        <f>G169 * B169</f>
        <v/>
      </c>
      <c r="I169" t="n">
        <v>12</v>
      </c>
      <c r="J169">
        <f>225 * B169</f>
        <v/>
      </c>
    </row>
    <row r="170" ht="12.8" customHeight="1" s="26">
      <c r="A170" t="inlineStr">
        <is>
          <t>s094</t>
        </is>
      </c>
      <c r="B170" t="n">
        <v>0</v>
      </c>
      <c r="C170" t="inlineStr">
        <is>
          <t>Kokoška pastuší tobolka nať řez. kg</t>
        </is>
      </c>
      <c r="G170" t="n">
        <v>200.89</v>
      </c>
      <c r="H170">
        <f>G170 * B170</f>
        <v/>
      </c>
      <c r="I170" t="n">
        <v>12</v>
      </c>
      <c r="J170">
        <f>225 * B170</f>
        <v/>
      </c>
    </row>
    <row r="171" ht="12.8" customHeight="1" s="26">
      <c r="A171" t="inlineStr">
        <is>
          <t>s095</t>
        </is>
      </c>
      <c r="B171" t="n">
        <v>0</v>
      </c>
      <c r="C171" t="inlineStr">
        <is>
          <t>Komonice lékařská nať řez. kg</t>
        </is>
      </c>
      <c r="G171" t="n">
        <v>225</v>
      </c>
      <c r="H171">
        <f>G171 * B171</f>
        <v/>
      </c>
      <c r="I171" t="n">
        <v>12</v>
      </c>
      <c r="J171">
        <f>252 * B171</f>
        <v/>
      </c>
    </row>
    <row r="172" ht="12.8" customHeight="1" s="26">
      <c r="A172" t="inlineStr">
        <is>
          <t>s096</t>
        </is>
      </c>
      <c r="B172" t="n">
        <v>0</v>
      </c>
      <c r="C172" t="inlineStr">
        <is>
          <t>Kondurango (Marsdenie kondurangová) kůra řez. kg</t>
        </is>
      </c>
      <c r="G172" t="n">
        <v>725.89</v>
      </c>
      <c r="H172">
        <f>G172 * B172</f>
        <v/>
      </c>
      <c r="I172" t="n">
        <v>12</v>
      </c>
      <c r="J172">
        <f>813 * B172</f>
        <v/>
      </c>
    </row>
    <row r="173" ht="12.8" customHeight="1" s="26">
      <c r="A173" t="inlineStr">
        <is>
          <t>s096</t>
        </is>
      </c>
      <c r="B173" t="n">
        <v>0</v>
      </c>
      <c r="C173" t="inlineStr">
        <is>
          <t>Kondurango (Marsdenie kondurangová) kůra řez. kg</t>
        </is>
      </c>
      <c r="G173" t="n">
        <v>725.89</v>
      </c>
      <c r="H173">
        <f>G173 * B173</f>
        <v/>
      </c>
      <c r="I173" t="n">
        <v>12</v>
      </c>
      <c r="J173">
        <f>813 * B173</f>
        <v/>
      </c>
    </row>
    <row r="174" ht="12.8" customHeight="1" s="26">
      <c r="A174" t="inlineStr">
        <is>
          <t>s097</t>
        </is>
      </c>
      <c r="B174" t="n">
        <v>0</v>
      </c>
      <c r="C174" t="inlineStr">
        <is>
          <t>Cannamil Konopná herba (konopí nať s květem) řez. kg</t>
        </is>
      </c>
      <c r="G174" t="n">
        <v>663.39</v>
      </c>
      <c r="H174">
        <f>G174 * B174</f>
        <v/>
      </c>
      <c r="I174" t="n">
        <v>12</v>
      </c>
      <c r="J174">
        <f>743 * B174</f>
        <v/>
      </c>
    </row>
    <row r="175" ht="12.8" customHeight="1" s="26">
      <c r="A175" s="49" t="inlineStr">
        <is>
          <t>s0971</t>
        </is>
      </c>
      <c r="B175" s="49" t="inlineStr">
        <is>
          <t>-</t>
        </is>
      </c>
      <c r="C175" s="49" t="inlineStr">
        <is>
          <t>Cannamil Konopný list (konopí list) řez. kg</t>
        </is>
      </c>
      <c r="D175" s="49" t="n"/>
      <c r="E175" s="49" t="n"/>
      <c r="F175" s="49" t="n"/>
      <c r="G175" s="49" t="n">
        <v>1800</v>
      </c>
      <c r="H175" s="49" t="n"/>
      <c r="I175" s="49" t="n">
        <v>12</v>
      </c>
      <c r="J175" s="49" t="n"/>
      <c r="K175" s="49" t="n"/>
    </row>
    <row r="176" ht="12.8" customHeight="1" s="26">
      <c r="A176" s="49" t="inlineStr">
        <is>
          <t>s098</t>
        </is>
      </c>
      <c r="B176" s="49" t="inlineStr">
        <is>
          <t>-</t>
        </is>
      </c>
      <c r="C176" s="49" t="inlineStr">
        <is>
          <t>Cannamil Konopí semínko loupané (konopí seté) celý kg</t>
        </is>
      </c>
      <c r="D176" s="49" t="n"/>
      <c r="E176" s="49" t="n"/>
      <c r="F176" s="49" t="n"/>
      <c r="G176" s="49" t="n">
        <v>719.64</v>
      </c>
      <c r="H176" s="49" t="n"/>
      <c r="I176" s="49" t="n">
        <v>12</v>
      </c>
      <c r="J176" s="49" t="n"/>
      <c r="K176" s="49" t="n"/>
    </row>
    <row r="177" ht="12.8" customHeight="1" s="26">
      <c r="A177" t="inlineStr">
        <is>
          <t>s099</t>
        </is>
      </c>
      <c r="B177" t="n">
        <v>0</v>
      </c>
      <c r="C177" t="inlineStr">
        <is>
          <t>Cannamil Konopí semínko natural (konopí seté) celý kg</t>
        </is>
      </c>
      <c r="G177" t="n">
        <v>134.82</v>
      </c>
      <c r="H177">
        <f>G177 * B177</f>
        <v/>
      </c>
      <c r="I177" t="n">
        <v>12</v>
      </c>
      <c r="J177">
        <f>151 * B177</f>
        <v/>
      </c>
    </row>
    <row r="178" ht="12.8" customHeight="1" s="26">
      <c r="A178" s="49" t="inlineStr">
        <is>
          <t>s0991</t>
        </is>
      </c>
      <c r="B178" s="49" t="inlineStr">
        <is>
          <t>-</t>
        </is>
      </c>
      <c r="C178" s="49" t="inlineStr">
        <is>
          <t>Konopáč sadec nať řez. kg</t>
        </is>
      </c>
      <c r="D178" s="49" t="n"/>
      <c r="E178" s="49" t="n"/>
      <c r="F178" s="49" t="n"/>
      <c r="G178" s="49" t="n">
        <v>119.64</v>
      </c>
      <c r="H178" s="49" t="n"/>
      <c r="I178" s="49" t="n">
        <v>12</v>
      </c>
      <c r="J178" s="49" t="n"/>
      <c r="K178" s="49" t="n"/>
    </row>
    <row r="179" ht="12.8" customHeight="1" s="26">
      <c r="A179" t="inlineStr">
        <is>
          <t>s100</t>
        </is>
      </c>
      <c r="B179" t="n">
        <v>0</v>
      </c>
      <c r="C179" t="inlineStr">
        <is>
          <t>Konopice bledožlutá nať řez. kg</t>
        </is>
      </c>
      <c r="G179" t="n">
        <v>255.36</v>
      </c>
      <c r="H179">
        <f>G179 * B179</f>
        <v/>
      </c>
      <c r="I179" t="n">
        <v>12</v>
      </c>
      <c r="J179">
        <f>286 * B179</f>
        <v/>
      </c>
    </row>
    <row r="180" ht="12.8" customHeight="1" s="26">
      <c r="A180" t="inlineStr">
        <is>
          <t>s101</t>
        </is>
      </c>
      <c r="B180" t="n">
        <v>0</v>
      </c>
      <c r="C180" t="inlineStr">
        <is>
          <t>Kontryhel žlutozelený nať řez. kg</t>
        </is>
      </c>
      <c r="G180" t="n">
        <v>452.68</v>
      </c>
      <c r="H180">
        <f>G180 * B180</f>
        <v/>
      </c>
      <c r="I180" t="n">
        <v>12</v>
      </c>
      <c r="J180">
        <f>507 * B180</f>
        <v/>
      </c>
    </row>
    <row r="181" ht="12.8" customHeight="1" s="26">
      <c r="A181" t="inlineStr">
        <is>
          <t>s101</t>
        </is>
      </c>
      <c r="B181" t="n">
        <v>0</v>
      </c>
      <c r="C181" t="inlineStr">
        <is>
          <t>Kontryhel žlutozelený nať řez. kg</t>
        </is>
      </c>
      <c r="G181" t="n">
        <v>452.68</v>
      </c>
      <c r="H181">
        <f>G181 * B181</f>
        <v/>
      </c>
      <c r="I181" t="n">
        <v>12</v>
      </c>
      <c r="J181">
        <f>507 * B181</f>
        <v/>
      </c>
    </row>
    <row r="182" ht="12.8" customHeight="1" s="26">
      <c r="A182" s="49" t="inlineStr">
        <is>
          <t>s102</t>
        </is>
      </c>
      <c r="B182" s="49" t="inlineStr">
        <is>
          <t>-</t>
        </is>
      </c>
      <c r="C182" s="49" t="inlineStr">
        <is>
          <t>Kopr vonný list (špičky) řez. kg</t>
        </is>
      </c>
      <c r="D182" s="49" t="n"/>
      <c r="E182" s="49" t="n"/>
      <c r="F182" s="49" t="n"/>
      <c r="G182" s="49" t="n">
        <v>174.11</v>
      </c>
      <c r="H182" s="49" t="n"/>
      <c r="I182" s="49" t="n">
        <v>12</v>
      </c>
      <c r="J182" s="49" t="n"/>
      <c r="K182" s="49" t="n"/>
    </row>
    <row r="183" ht="12.8" customHeight="1" s="26">
      <c r="A183" s="49" t="inlineStr">
        <is>
          <t>s103</t>
        </is>
      </c>
      <c r="B183" s="49" t="inlineStr">
        <is>
          <t>-</t>
        </is>
      </c>
      <c r="C183" s="49" t="inlineStr">
        <is>
          <t>Kopretina řimbaba nať řez. kg</t>
        </is>
      </c>
      <c r="D183" s="49" t="n"/>
      <c r="E183" s="49" t="n"/>
      <c r="F183" s="49" t="n"/>
      <c r="G183" s="49" t="n">
        <v>659.8200000000001</v>
      </c>
      <c r="H183" s="49" t="n"/>
      <c r="I183" s="49" t="n">
        <v>12</v>
      </c>
      <c r="J183" s="49" t="n"/>
      <c r="K183" s="49" t="n"/>
    </row>
    <row r="184" ht="12.8" customHeight="1" s="26">
      <c r="A184" t="inlineStr">
        <is>
          <t>s104</t>
        </is>
      </c>
      <c r="B184" t="n">
        <v>0</v>
      </c>
      <c r="C184" t="inlineStr">
        <is>
          <t>Koprník štětinolistý kořen řez. kg</t>
        </is>
      </c>
      <c r="G184" t="n">
        <v>2000.89</v>
      </c>
      <c r="H184">
        <f>G184 * B184</f>
        <v/>
      </c>
      <c r="I184" t="n">
        <v>12</v>
      </c>
      <c r="J184">
        <f>2241 * B184</f>
        <v/>
      </c>
    </row>
    <row r="185" ht="12.8" customHeight="1" s="26">
      <c r="A185" t="inlineStr">
        <is>
          <t>s105</t>
        </is>
      </c>
      <c r="B185" t="n">
        <v>0</v>
      </c>
      <c r="C185" t="inlineStr">
        <is>
          <t>Kopřiva dvoudomá kořen řez. kg</t>
        </is>
      </c>
      <c r="G185" t="n">
        <v>375</v>
      </c>
      <c r="H185">
        <f>G185 * B185</f>
        <v/>
      </c>
      <c r="I185" t="n">
        <v>12</v>
      </c>
      <c r="J185">
        <f>420 * B185</f>
        <v/>
      </c>
    </row>
    <row r="186" ht="12.8" customHeight="1" s="26">
      <c r="A186" t="inlineStr">
        <is>
          <t>s106</t>
        </is>
      </c>
      <c r="B186" t="n">
        <v>0</v>
      </c>
      <c r="C186" t="inlineStr">
        <is>
          <t>Kopřiva dvoudomá nať řez. kg</t>
        </is>
      </c>
      <c r="G186" t="n">
        <v>191.96</v>
      </c>
      <c r="H186">
        <f>G186 * B186</f>
        <v/>
      </c>
      <c r="I186" t="n">
        <v>12</v>
      </c>
      <c r="J186">
        <f>215 * B186</f>
        <v/>
      </c>
    </row>
    <row r="187" ht="12.8" customHeight="1" s="26">
      <c r="A187" t="inlineStr">
        <is>
          <t>s106</t>
        </is>
      </c>
      <c r="B187" t="n">
        <v>0</v>
      </c>
      <c r="C187" t="inlineStr">
        <is>
          <t>Kopřiva dvoudomá nať řez. kg</t>
        </is>
      </c>
      <c r="G187" t="n">
        <v>191.96</v>
      </c>
      <c r="H187">
        <f>G187 * B187</f>
        <v/>
      </c>
      <c r="I187" t="n">
        <v>12</v>
      </c>
      <c r="J187">
        <f>215 * B187</f>
        <v/>
      </c>
    </row>
    <row r="188" ht="12.8" customHeight="1" s="26">
      <c r="A188" t="inlineStr">
        <is>
          <t>s107</t>
        </is>
      </c>
      <c r="B188" t="n">
        <v>0</v>
      </c>
      <c r="C188" t="inlineStr">
        <is>
          <t>Koriandr setý plod celý kg</t>
        </is>
      </c>
      <c r="G188" t="n">
        <v>105.36</v>
      </c>
      <c r="H188">
        <f>G188 * B188</f>
        <v/>
      </c>
      <c r="I188" t="n">
        <v>12</v>
      </c>
      <c r="J188">
        <f>118 * B188</f>
        <v/>
      </c>
    </row>
    <row r="189" ht="12.8" customHeight="1" s="26">
      <c r="A189" t="inlineStr">
        <is>
          <t>s108</t>
        </is>
      </c>
      <c r="B189" t="n">
        <v>0</v>
      </c>
      <c r="C189" t="inlineStr">
        <is>
          <t>Kosatec německý oddenek řez. kg</t>
        </is>
      </c>
      <c r="G189" t="n">
        <v>900</v>
      </c>
      <c r="H189">
        <f>G189 * B189</f>
        <v/>
      </c>
      <c r="I189" t="n">
        <v>12</v>
      </c>
      <c r="J189">
        <f>1008 * B189</f>
        <v/>
      </c>
    </row>
    <row r="190" ht="12.8" customHeight="1" s="26">
      <c r="A190" t="inlineStr">
        <is>
          <t>s109</t>
        </is>
      </c>
      <c r="B190" t="n">
        <v>0</v>
      </c>
      <c r="C190" t="inlineStr">
        <is>
          <t>Kostival lékařský kořen řez. kg</t>
        </is>
      </c>
      <c r="G190" t="n">
        <v>434.82</v>
      </c>
      <c r="H190">
        <f>G190 * B190</f>
        <v/>
      </c>
      <c r="I190" t="n">
        <v>12</v>
      </c>
      <c r="J190">
        <f>487 * B190</f>
        <v/>
      </c>
    </row>
    <row r="191" ht="12.8" customHeight="1" s="26">
      <c r="A191" s="49" t="inlineStr">
        <is>
          <t>s110</t>
        </is>
      </c>
      <c r="B191" s="49" t="inlineStr">
        <is>
          <t>-</t>
        </is>
      </c>
      <c r="C191" s="49" t="inlineStr">
        <is>
          <t>Kostival lékařský list řez. kg</t>
        </is>
      </c>
      <c r="D191" s="49" t="n"/>
      <c r="E191" s="49" t="n"/>
      <c r="F191" s="49" t="n"/>
      <c r="G191" s="49" t="n">
        <v>269.64</v>
      </c>
      <c r="H191" s="49" t="n"/>
      <c r="I191" s="49" t="n">
        <v>12</v>
      </c>
      <c r="J191" s="49" t="n"/>
      <c r="K191" s="49" t="n"/>
    </row>
    <row r="192" ht="12.8" customHeight="1" s="26">
      <c r="A192" t="inlineStr">
        <is>
          <t>s111</t>
        </is>
      </c>
      <c r="B192" t="n">
        <v>0</v>
      </c>
      <c r="C192" t="inlineStr">
        <is>
          <t>Kotvičník zemní nať řez. kg</t>
        </is>
      </c>
      <c r="G192" t="n">
        <v>405.36</v>
      </c>
      <c r="H192">
        <f>G192 * B192</f>
        <v/>
      </c>
      <c r="I192" t="n">
        <v>12</v>
      </c>
      <c r="J192">
        <f>454 * B192</f>
        <v/>
      </c>
    </row>
    <row r="193" ht="12.8" customHeight="1" s="26">
      <c r="A193" t="inlineStr">
        <is>
          <t>s112</t>
        </is>
      </c>
      <c r="B193" t="n">
        <v>0</v>
      </c>
      <c r="C193" t="inlineStr">
        <is>
          <t>Kozinec sladkolistý kořen (astragalus) řez. kg</t>
        </is>
      </c>
      <c r="G193" t="n">
        <v>555.36</v>
      </c>
      <c r="H193">
        <f>G193 * B193</f>
        <v/>
      </c>
      <c r="I193" t="n">
        <v>12</v>
      </c>
      <c r="J193">
        <f>622 * B193</f>
        <v/>
      </c>
    </row>
    <row r="194" ht="12.8" customHeight="1" s="26">
      <c r="A194" s="49" t="inlineStr">
        <is>
          <t>s113</t>
        </is>
      </c>
      <c r="B194" s="49" t="inlineStr">
        <is>
          <t>-</t>
        </is>
      </c>
      <c r="C194" s="49" t="inlineStr">
        <is>
          <t>Kozlík lékařský kořen řez. kg</t>
        </is>
      </c>
      <c r="D194" s="49" t="n"/>
      <c r="E194" s="49" t="n"/>
      <c r="F194" s="49" t="n"/>
      <c r="G194" s="49" t="n">
        <v>525</v>
      </c>
      <c r="H194" s="49" t="n"/>
      <c r="I194" s="49" t="n">
        <v>12</v>
      </c>
      <c r="J194" s="49" t="n"/>
      <c r="K194" s="49" t="n"/>
    </row>
    <row r="195" ht="12.8" customHeight="1" s="26">
      <c r="A195" s="49" t="inlineStr">
        <is>
          <t>s113</t>
        </is>
      </c>
      <c r="B195" s="49" t="inlineStr">
        <is>
          <t>-</t>
        </is>
      </c>
      <c r="C195" s="49" t="inlineStr">
        <is>
          <t>Kozlík lékařský kořen řez. kg</t>
        </is>
      </c>
      <c r="D195" s="49" t="n"/>
      <c r="E195" s="49" t="n"/>
      <c r="F195" s="49" t="n"/>
      <c r="G195" s="49" t="n">
        <v>525</v>
      </c>
      <c r="H195" s="49" t="n"/>
      <c r="I195" s="49" t="n">
        <v>12</v>
      </c>
      <c r="J195" s="49" t="n"/>
      <c r="K195" s="49" t="n"/>
    </row>
    <row r="196" ht="12.8" customHeight="1" s="26">
      <c r="A196" s="49" t="inlineStr">
        <is>
          <t>s114</t>
        </is>
      </c>
      <c r="B196" s="49" t="inlineStr">
        <is>
          <t>-</t>
        </is>
      </c>
      <c r="C196" s="49" t="inlineStr">
        <is>
          <t>Kručinka barvířská nať řez. kg</t>
        </is>
      </c>
      <c r="D196" s="49" t="n"/>
      <c r="E196" s="49" t="n"/>
      <c r="F196" s="49" t="n"/>
      <c r="G196" s="49" t="n">
        <v>291.07</v>
      </c>
      <c r="H196" s="49" t="n"/>
      <c r="I196" s="49" t="n">
        <v>12</v>
      </c>
      <c r="J196" s="49" t="n"/>
      <c r="K196" s="49" t="n"/>
    </row>
    <row r="197" ht="12.8" customHeight="1" s="26">
      <c r="A197" t="inlineStr">
        <is>
          <t>s115</t>
        </is>
      </c>
      <c r="B197" t="n">
        <v>0</v>
      </c>
      <c r="C197" t="inlineStr">
        <is>
          <t>Krušina olšová kůra řez. kg</t>
        </is>
      </c>
      <c r="G197" t="n">
        <v>225</v>
      </c>
      <c r="H197">
        <f>G197 * B197</f>
        <v/>
      </c>
      <c r="I197" t="n">
        <v>12</v>
      </c>
      <c r="J197">
        <f>252 * B197</f>
        <v/>
      </c>
    </row>
    <row r="198" ht="12.8" customHeight="1" s="26">
      <c r="A198" t="inlineStr">
        <is>
          <t>s116</t>
        </is>
      </c>
      <c r="B198" t="n">
        <v>0</v>
      </c>
      <c r="C198" t="inlineStr">
        <is>
          <t>Krvavec toten kořen řez. kg</t>
        </is>
      </c>
      <c r="G198" t="n">
        <v>450</v>
      </c>
      <c r="H198">
        <f>G198 * B198</f>
        <v/>
      </c>
      <c r="I198" t="n">
        <v>12</v>
      </c>
      <c r="J198">
        <f>504 * B198</f>
        <v/>
      </c>
    </row>
    <row r="199" ht="12.8" customHeight="1" s="26">
      <c r="A199" s="49" t="inlineStr">
        <is>
          <t>s117</t>
        </is>
      </c>
      <c r="B199" s="49" t="inlineStr">
        <is>
          <t>-</t>
        </is>
      </c>
      <c r="C199" s="49" t="inlineStr">
        <is>
          <t>Kuklík městský kořen řez. kg</t>
        </is>
      </c>
      <c r="D199" s="49" t="n"/>
      <c r="E199" s="49" t="n"/>
      <c r="F199" s="49" t="n"/>
      <c r="G199" s="49" t="n">
        <v>719.64</v>
      </c>
      <c r="H199" s="49" t="n"/>
      <c r="I199" s="49" t="n">
        <v>12</v>
      </c>
      <c r="J199" s="49" t="n"/>
      <c r="K199" s="49" t="n"/>
    </row>
    <row r="200" ht="12.8" customHeight="1" s="26">
      <c r="A200" s="49" t="inlineStr">
        <is>
          <t>s118</t>
        </is>
      </c>
      <c r="B200" s="49" t="inlineStr">
        <is>
          <t>-</t>
        </is>
      </c>
      <c r="C200" s="49" t="inlineStr">
        <is>
          <t>Kuklík městský nať řez. kg</t>
        </is>
      </c>
      <c r="D200" s="49" t="n"/>
      <c r="E200" s="49" t="n"/>
      <c r="F200" s="49" t="n"/>
      <c r="G200" s="49" t="n">
        <v>419.64</v>
      </c>
      <c r="H200" s="49" t="n"/>
      <c r="I200" s="49" t="n">
        <v>12</v>
      </c>
      <c r="J200" s="49" t="n"/>
      <c r="K200" s="49" t="n"/>
    </row>
    <row r="201" ht="12.8" customHeight="1" s="26">
      <c r="A201" t="inlineStr">
        <is>
          <t>s119</t>
        </is>
      </c>
      <c r="B201" t="n">
        <v>0</v>
      </c>
      <c r="C201" t="inlineStr">
        <is>
          <t>Kukuřice setá čnělky řez. kg</t>
        </is>
      </c>
      <c r="G201" t="n">
        <v>434.82</v>
      </c>
      <c r="H201">
        <f>G201 * B201</f>
        <v/>
      </c>
      <c r="I201" t="n">
        <v>12</v>
      </c>
      <c r="J201">
        <f>487 * B201</f>
        <v/>
      </c>
    </row>
    <row r="202" ht="12.8" customHeight="1" s="26">
      <c r="A202" t="inlineStr">
        <is>
          <t>s120</t>
        </is>
      </c>
      <c r="B202" t="n">
        <v>0</v>
      </c>
      <c r="C202" t="inlineStr">
        <is>
          <t>Kurkuma dlouhá oddenek mletá (prosev) kg</t>
        </is>
      </c>
      <c r="G202" t="n">
        <v>249.11</v>
      </c>
      <c r="H202">
        <f>G202 * B202</f>
        <v/>
      </c>
      <c r="I202" t="n">
        <v>12</v>
      </c>
      <c r="J202">
        <f>279 * B202</f>
        <v/>
      </c>
    </row>
    <row r="203" ht="12.8" customHeight="1" s="26">
      <c r="A203" t="inlineStr">
        <is>
          <t>s120</t>
        </is>
      </c>
      <c r="B203" t="n">
        <v>0</v>
      </c>
      <c r="C203" t="inlineStr">
        <is>
          <t>Kurkuma dlouhá oddenek mletá (prosev) kg</t>
        </is>
      </c>
      <c r="G203" t="n">
        <v>249.11</v>
      </c>
      <c r="H203">
        <f>G203 * B203</f>
        <v/>
      </c>
      <c r="I203" t="n">
        <v>12</v>
      </c>
      <c r="J203">
        <f>279 * B203</f>
        <v/>
      </c>
    </row>
    <row r="204" ht="12.8" customHeight="1" s="26">
      <c r="A204" t="inlineStr">
        <is>
          <t>s1201</t>
        </is>
      </c>
      <c r="B204" t="n">
        <v>0</v>
      </c>
      <c r="C204" t="inlineStr">
        <is>
          <t>Kurkuma dlouhá oddenek řez. kg</t>
        </is>
      </c>
      <c r="G204" t="n">
        <v>363.39</v>
      </c>
      <c r="H204">
        <f>G204 * B204</f>
        <v/>
      </c>
      <c r="I204" t="n">
        <v>12</v>
      </c>
      <c r="J204">
        <f>407 * B204</f>
        <v/>
      </c>
    </row>
    <row r="205" ht="12.8" customHeight="1" s="26">
      <c r="A205" t="inlineStr">
        <is>
          <t>s121</t>
        </is>
      </c>
      <c r="B205" t="n">
        <v>0</v>
      </c>
      <c r="C205" t="inlineStr">
        <is>
          <t>Lapacho Matto-Grosso kůra řez. kg</t>
        </is>
      </c>
      <c r="G205" t="n">
        <v>450</v>
      </c>
      <c r="H205">
        <f>G205 * B205</f>
        <v/>
      </c>
      <c r="I205" t="n">
        <v>12</v>
      </c>
      <c r="J205">
        <f>504 * B205</f>
        <v/>
      </c>
    </row>
    <row r="206" ht="12.8" customHeight="1" s="26">
      <c r="A206" t="inlineStr">
        <is>
          <t>s122</t>
        </is>
      </c>
      <c r="B206" t="n">
        <v>0</v>
      </c>
      <c r="C206" t="inlineStr">
        <is>
          <t>Lékořice lysá kořen řez. kg</t>
        </is>
      </c>
      <c r="G206" t="n">
        <v>381.25</v>
      </c>
      <c r="H206">
        <f>G206 * B206</f>
        <v/>
      </c>
      <c r="I206" t="n">
        <v>12</v>
      </c>
      <c r="J206">
        <f>427 * B206</f>
        <v/>
      </c>
    </row>
    <row r="207" ht="12.8" customHeight="1" s="26">
      <c r="A207" t="inlineStr">
        <is>
          <t>s122</t>
        </is>
      </c>
      <c r="B207" t="n">
        <v>0</v>
      </c>
      <c r="C207" t="inlineStr">
        <is>
          <t>Lékořice lysá kořen řez. kg</t>
        </is>
      </c>
      <c r="G207" t="n">
        <v>381.25</v>
      </c>
      <c r="H207">
        <f>G207 * B207</f>
        <v/>
      </c>
      <c r="I207" t="n">
        <v>12</v>
      </c>
      <c r="J207">
        <f>427 * B207</f>
        <v/>
      </c>
    </row>
    <row r="208" ht="12.8" customHeight="1" s="26">
      <c r="A208" t="inlineStr">
        <is>
          <t>s123</t>
        </is>
      </c>
      <c r="B208" t="n">
        <v>0</v>
      </c>
      <c r="C208" t="inlineStr">
        <is>
          <t>Levandule pravá květ celý kg</t>
        </is>
      </c>
      <c r="G208" t="n">
        <v>434.82</v>
      </c>
      <c r="H208">
        <f>G208 * B208</f>
        <v/>
      </c>
      <c r="I208" t="n">
        <v>12</v>
      </c>
      <c r="J208">
        <f>487 * B208</f>
        <v/>
      </c>
    </row>
    <row r="209" ht="12.8" customHeight="1" s="26">
      <c r="A209" t="inlineStr">
        <is>
          <t>s123</t>
        </is>
      </c>
      <c r="B209" t="n">
        <v>0</v>
      </c>
      <c r="C209" t="inlineStr">
        <is>
          <t>Levandule pravá květ celý kg</t>
        </is>
      </c>
      <c r="G209" t="n">
        <v>434.82</v>
      </c>
      <c r="H209">
        <f>G209 * B209</f>
        <v/>
      </c>
      <c r="I209" t="n">
        <v>12</v>
      </c>
      <c r="J209">
        <f>487 * B209</f>
        <v/>
      </c>
    </row>
    <row r="210" ht="12.8" customHeight="1" s="26">
      <c r="A210" t="inlineStr">
        <is>
          <t>s124</t>
        </is>
      </c>
      <c r="B210" t="n">
        <v>0</v>
      </c>
      <c r="C210" t="inlineStr">
        <is>
          <t>Libeček lékařský kořen řez. kg</t>
        </is>
      </c>
      <c r="G210" t="n">
        <v>275.89</v>
      </c>
      <c r="H210">
        <f>G210 * B210</f>
        <v/>
      </c>
      <c r="I210" t="n">
        <v>12</v>
      </c>
      <c r="J210">
        <f>309 * B210</f>
        <v/>
      </c>
    </row>
    <row r="211" ht="12.8" customHeight="1" s="26">
      <c r="A211" t="inlineStr">
        <is>
          <t>s125</t>
        </is>
      </c>
      <c r="B211" t="n">
        <v>0</v>
      </c>
      <c r="C211" t="inlineStr">
        <is>
          <t>Libeček lékařský list řez. kg</t>
        </is>
      </c>
      <c r="G211" t="n">
        <v>396.43</v>
      </c>
      <c r="H211">
        <f>G211 * B211</f>
        <v/>
      </c>
      <c r="I211" t="n">
        <v>12</v>
      </c>
      <c r="J211">
        <f>444 * B211</f>
        <v/>
      </c>
    </row>
    <row r="212" ht="12.8" customHeight="1" s="26">
      <c r="A212" t="inlineStr">
        <is>
          <t>s125</t>
        </is>
      </c>
      <c r="B212" t="n">
        <v>0</v>
      </c>
      <c r="C212" t="inlineStr">
        <is>
          <t>Libeček lékařský list řez. kg</t>
        </is>
      </c>
      <c r="G212" t="n">
        <v>396.43</v>
      </c>
      <c r="H212">
        <f>G212 * B212</f>
        <v/>
      </c>
      <c r="I212" t="n">
        <v>12</v>
      </c>
      <c r="J212">
        <f>444 * B212</f>
        <v/>
      </c>
    </row>
    <row r="213" ht="12.8" customHeight="1" s="26">
      <c r="A213" t="inlineStr">
        <is>
          <t>s1251</t>
        </is>
      </c>
      <c r="B213" t="n">
        <v>0</v>
      </c>
      <c r="C213" t="inlineStr">
        <is>
          <t>Lichořeřišnice větší semeno celé kg</t>
        </is>
      </c>
      <c r="G213" t="n">
        <v>900</v>
      </c>
      <c r="H213">
        <f>G213 * B213</f>
        <v/>
      </c>
      <c r="I213" t="n">
        <v>12</v>
      </c>
      <c r="J213">
        <f>1008 * B213</f>
        <v/>
      </c>
    </row>
    <row r="214" ht="12.8" customHeight="1" s="26">
      <c r="A214" s="49" t="inlineStr">
        <is>
          <t>s126</t>
        </is>
      </c>
      <c r="B214" s="49" t="inlineStr">
        <is>
          <t>-</t>
        </is>
      </c>
      <c r="C214" s="49" t="inlineStr">
        <is>
          <t>Lipový (Lípa srdčitá) květ řez. kg</t>
        </is>
      </c>
      <c r="D214" s="49" t="n"/>
      <c r="E214" s="49" t="n"/>
      <c r="F214" s="49" t="n"/>
      <c r="G214" s="49" t="n">
        <v>1136.61</v>
      </c>
      <c r="H214" s="49" t="n"/>
      <c r="I214" s="49" t="n">
        <v>12</v>
      </c>
      <c r="J214" s="49" t="n"/>
      <c r="K214" s="49" t="n"/>
    </row>
    <row r="215" ht="12.8" customHeight="1" s="26">
      <c r="A215" t="inlineStr">
        <is>
          <t>s127</t>
        </is>
      </c>
      <c r="B215" t="n">
        <v>0</v>
      </c>
      <c r="C215" t="inlineStr">
        <is>
          <t>Líska obecná list řez. kg</t>
        </is>
      </c>
      <c r="G215" t="n">
        <v>194.64</v>
      </c>
      <c r="H215">
        <f>G215 * B215</f>
        <v/>
      </c>
      <c r="I215" t="n">
        <v>12</v>
      </c>
      <c r="J215">
        <f>218 * B215</f>
        <v/>
      </c>
    </row>
    <row r="216" ht="12.8" customHeight="1" s="26">
      <c r="A216" t="inlineStr">
        <is>
          <t>s128</t>
        </is>
      </c>
      <c r="B216" t="n">
        <v>0</v>
      </c>
      <c r="C216" t="inlineStr">
        <is>
          <t>Lišejník islandský stélka řez. kg</t>
        </is>
      </c>
      <c r="G216" t="n">
        <v>575.89</v>
      </c>
      <c r="H216">
        <f>G216 * B216</f>
        <v/>
      </c>
      <c r="I216" t="n">
        <v>12</v>
      </c>
      <c r="J216">
        <f>645 * B216</f>
        <v/>
      </c>
    </row>
    <row r="217" ht="12.8" customHeight="1" s="26">
      <c r="A217" t="inlineStr">
        <is>
          <t>s129</t>
        </is>
      </c>
      <c r="B217" t="n">
        <v>0</v>
      </c>
      <c r="C217" t="inlineStr">
        <is>
          <t>Lněné (Len setý) semeno hnědé celé kg</t>
        </is>
      </c>
      <c r="G217" t="n">
        <v>90.18000000000001</v>
      </c>
      <c r="H217">
        <f>G217 * B217</f>
        <v/>
      </c>
      <c r="I217" t="n">
        <v>12</v>
      </c>
      <c r="J217">
        <f>101 * B217</f>
        <v/>
      </c>
    </row>
    <row r="218" ht="12.8" customHeight="1" s="26">
      <c r="A218" t="inlineStr">
        <is>
          <t>s130</t>
        </is>
      </c>
      <c r="B218" t="n">
        <v>0</v>
      </c>
      <c r="C218" t="inlineStr">
        <is>
          <t>Lnice květel nať řez. kg</t>
        </is>
      </c>
      <c r="G218" t="n">
        <v>930.36</v>
      </c>
      <c r="H218">
        <f>G218 * B218</f>
        <v/>
      </c>
      <c r="I218" t="n">
        <v>12</v>
      </c>
      <c r="J218">
        <f>1042 * B218</f>
        <v/>
      </c>
    </row>
    <row r="219" ht="12.8" customHeight="1" s="26">
      <c r="A219" t="inlineStr">
        <is>
          <t>s131</t>
        </is>
      </c>
      <c r="B219" t="n">
        <v>0</v>
      </c>
      <c r="C219" t="inlineStr">
        <is>
          <t>Lomikámen zrnatý nať řez. kg</t>
        </is>
      </c>
      <c r="G219" t="n">
        <v>1094.64</v>
      </c>
      <c r="H219">
        <f>G219 * B219</f>
        <v/>
      </c>
      <c r="I219" t="n">
        <v>12</v>
      </c>
      <c r="J219">
        <f>1226 * B219</f>
        <v/>
      </c>
    </row>
    <row r="220" ht="12.8" customHeight="1" s="26">
      <c r="A220" t="inlineStr">
        <is>
          <t>s132</t>
        </is>
      </c>
      <c r="B220" t="n">
        <v>0</v>
      </c>
      <c r="C220" t="inlineStr">
        <is>
          <t>Lopuch větší kořen řez. kg</t>
        </is>
      </c>
      <c r="G220" t="n">
        <v>377.68</v>
      </c>
      <c r="H220">
        <f>G220 * B220</f>
        <v/>
      </c>
      <c r="I220" t="n">
        <v>12</v>
      </c>
      <c r="J220">
        <f>423 * B220</f>
        <v/>
      </c>
    </row>
    <row r="221" ht="12.8" customHeight="1" s="26">
      <c r="A221" t="inlineStr">
        <is>
          <t>s133</t>
        </is>
      </c>
      <c r="B221" t="n">
        <v>0</v>
      </c>
      <c r="C221" t="inlineStr">
        <is>
          <t>Lžičník lékařský nať řez. kg</t>
        </is>
      </c>
      <c r="G221" t="n">
        <v>1559.82</v>
      </c>
      <c r="H221">
        <f>G221 * B221</f>
        <v/>
      </c>
      <c r="I221" t="n">
        <v>12</v>
      </c>
      <c r="J221">
        <f>1747 * B221</f>
        <v/>
      </c>
    </row>
    <row r="222" ht="12.8" customHeight="1" s="26">
      <c r="A222" t="inlineStr">
        <is>
          <t>s134</t>
        </is>
      </c>
      <c r="B222" t="n">
        <v>0</v>
      </c>
      <c r="C222" t="inlineStr">
        <is>
          <t>Majoránka zahradní nať řez. kg</t>
        </is>
      </c>
      <c r="G222" t="n">
        <v>359.82</v>
      </c>
      <c r="H222">
        <f>G222 * B222</f>
        <v/>
      </c>
      <c r="I222" t="n">
        <v>12</v>
      </c>
      <c r="J222">
        <f>403 * B222</f>
        <v/>
      </c>
    </row>
    <row r="223" ht="12.8" customHeight="1" s="26">
      <c r="A223" t="inlineStr">
        <is>
          <t>s134</t>
        </is>
      </c>
      <c r="B223" t="n">
        <v>0</v>
      </c>
      <c r="C223" t="inlineStr">
        <is>
          <t>Majoránka zahradní nať řez. kg</t>
        </is>
      </c>
      <c r="G223" t="n">
        <v>359.82</v>
      </c>
      <c r="H223">
        <f>G223 * B223</f>
        <v/>
      </c>
      <c r="I223" t="n">
        <v>12</v>
      </c>
      <c r="J223">
        <f>403 * B223</f>
        <v/>
      </c>
    </row>
    <row r="224" ht="12.8" customHeight="1" s="26">
      <c r="A224" t="inlineStr">
        <is>
          <t>s135</t>
        </is>
      </c>
      <c r="B224" t="n">
        <v>0</v>
      </c>
      <c r="C224" t="inlineStr">
        <is>
          <t>Maliník obecný list řez. kg</t>
        </is>
      </c>
      <c r="G224" t="n">
        <v>357.14</v>
      </c>
      <c r="H224">
        <f>G224 * B224</f>
        <v/>
      </c>
      <c r="I224" t="n">
        <v>12</v>
      </c>
      <c r="J224">
        <f>400 * B224</f>
        <v/>
      </c>
    </row>
    <row r="225" ht="12.8" customHeight="1" s="26">
      <c r="A225" t="inlineStr">
        <is>
          <t>s137</t>
        </is>
      </c>
      <c r="B225" t="n">
        <v>0</v>
      </c>
      <c r="C225" t="inlineStr">
        <is>
          <t>Maral kořen (Parcha léčivá-leuzea) řez. kg</t>
        </is>
      </c>
      <c r="G225" t="n">
        <v>1259.82</v>
      </c>
      <c r="H225">
        <f>G225 * B225</f>
        <v/>
      </c>
      <c r="I225" t="n">
        <v>12</v>
      </c>
      <c r="J225">
        <f>1411 * B225</f>
        <v/>
      </c>
    </row>
    <row r="226" ht="12.8" customHeight="1" s="26">
      <c r="A226" t="inlineStr">
        <is>
          <t>s138</t>
        </is>
      </c>
      <c r="B226" t="n">
        <v>0</v>
      </c>
      <c r="C226" t="inlineStr">
        <is>
          <t>Maral nať (Parcha léčivá-leuzea) řez. kg</t>
        </is>
      </c>
      <c r="G226" t="n">
        <v>240.18</v>
      </c>
      <c r="H226">
        <f>G226 * B226</f>
        <v/>
      </c>
      <c r="I226" t="n">
        <v>12</v>
      </c>
      <c r="J226">
        <f>269 * B226</f>
        <v/>
      </c>
    </row>
    <row r="227" ht="12.8" customHeight="1" s="26">
      <c r="A227" s="49" t="inlineStr">
        <is>
          <t>s1381</t>
        </is>
      </c>
      <c r="B227" s="49" t="inlineStr">
        <is>
          <t>-</t>
        </is>
      </c>
      <c r="C227" s="49" t="inlineStr">
        <is>
          <t>Marocká Máta - Nana list řez. kg</t>
        </is>
      </c>
      <c r="D227" s="49" t="n"/>
      <c r="E227" s="49" t="n"/>
      <c r="F227" s="49" t="n"/>
      <c r="G227" s="49" t="n">
        <v>255.36</v>
      </c>
      <c r="H227" s="49" t="n"/>
      <c r="I227" s="49" t="n">
        <v>12</v>
      </c>
      <c r="J227" s="49" t="n"/>
      <c r="K227" s="49" t="n"/>
    </row>
    <row r="228" ht="12.8" customHeight="1" s="26">
      <c r="A228" t="inlineStr">
        <is>
          <t>s139</t>
        </is>
      </c>
      <c r="B228" t="n">
        <v>0</v>
      </c>
      <c r="C228" t="inlineStr">
        <is>
          <t>Mařinka vonná nať řez. kg</t>
        </is>
      </c>
      <c r="G228" t="n">
        <v>405.36</v>
      </c>
      <c r="H228">
        <f>G228 * B228</f>
        <v/>
      </c>
      <c r="I228" t="n">
        <v>12</v>
      </c>
      <c r="J228">
        <f>454 * B228</f>
        <v/>
      </c>
    </row>
    <row r="229" ht="12.8" customHeight="1" s="26">
      <c r="A229" t="inlineStr">
        <is>
          <t>s140</t>
        </is>
      </c>
      <c r="B229" t="n">
        <v>0</v>
      </c>
      <c r="C229" t="inlineStr">
        <is>
          <t>Máta peprná nať řez. kg</t>
        </is>
      </c>
      <c r="G229" t="n">
        <v>225</v>
      </c>
      <c r="H229">
        <f>G229 * B229</f>
        <v/>
      </c>
      <c r="I229" t="n">
        <v>12</v>
      </c>
      <c r="J229">
        <f>252 * B229</f>
        <v/>
      </c>
    </row>
    <row r="230" ht="12.8" customHeight="1" s="26">
      <c r="A230" t="inlineStr">
        <is>
          <t>s141</t>
        </is>
      </c>
      <c r="B230" t="n">
        <v>0</v>
      </c>
      <c r="C230" t="inlineStr">
        <is>
          <t>Mate green (Yerba mate) list řez. kg</t>
        </is>
      </c>
      <c r="G230" t="n">
        <v>425.89</v>
      </c>
      <c r="H230">
        <f>G230 * B230</f>
        <v/>
      </c>
      <c r="I230" t="n">
        <v>12</v>
      </c>
      <c r="J230">
        <f>477 * B230</f>
        <v/>
      </c>
    </row>
    <row r="231" ht="12.8" customHeight="1" s="26">
      <c r="A231" t="inlineStr">
        <is>
          <t>s142</t>
        </is>
      </c>
      <c r="B231" t="n">
        <v>0</v>
      </c>
      <c r="C231" t="inlineStr">
        <is>
          <t>Mate roasted pražené (Yerba mate) list řez. kg</t>
        </is>
      </c>
      <c r="G231" t="n">
        <v>516.0700000000001</v>
      </c>
      <c r="H231">
        <f>G231 * B231</f>
        <v/>
      </c>
      <c r="I231" t="n">
        <v>12</v>
      </c>
      <c r="J231">
        <f>578 * B231</f>
        <v/>
      </c>
    </row>
    <row r="232" ht="12.8" customHeight="1" s="26">
      <c r="A232" t="inlineStr">
        <is>
          <t>s143</t>
        </is>
      </c>
      <c r="B232" t="n">
        <v>0</v>
      </c>
      <c r="C232" t="inlineStr">
        <is>
          <t>Mateřídouška obecná nať řez. kg</t>
        </is>
      </c>
      <c r="G232" t="n">
        <v>255.36</v>
      </c>
      <c r="H232">
        <f>G232 * B232</f>
        <v/>
      </c>
      <c r="I232" t="n">
        <v>12</v>
      </c>
      <c r="J232">
        <f>286 * B232</f>
        <v/>
      </c>
    </row>
    <row r="233" ht="12.8" customHeight="1" s="26">
      <c r="A233" t="inlineStr">
        <is>
          <t>s144</t>
        </is>
      </c>
      <c r="B233" t="n">
        <v>0</v>
      </c>
      <c r="C233" t="inlineStr">
        <is>
          <t>Meduňka lékařská nať řez. kg</t>
        </is>
      </c>
      <c r="G233" t="n">
        <v>240.18</v>
      </c>
      <c r="H233">
        <f>G233 * B233</f>
        <v/>
      </c>
      <c r="I233" t="n">
        <v>12</v>
      </c>
      <c r="J233">
        <f>269 * B233</f>
        <v/>
      </c>
    </row>
    <row r="234" ht="12.8" customHeight="1" s="26">
      <c r="A234" t="inlineStr">
        <is>
          <t>s144</t>
        </is>
      </c>
      <c r="B234" t="n">
        <v>0</v>
      </c>
      <c r="C234" t="inlineStr">
        <is>
          <t>Meduňka lékařská nať řez. kg</t>
        </is>
      </c>
      <c r="G234" t="n">
        <v>240.18</v>
      </c>
      <c r="H234">
        <f>G234 * B234</f>
        <v/>
      </c>
      <c r="I234" t="n">
        <v>12</v>
      </c>
      <c r="J234">
        <f>269 * B234</f>
        <v/>
      </c>
    </row>
    <row r="235" ht="12.8" customHeight="1" s="26">
      <c r="A235" t="inlineStr">
        <is>
          <t>s145</t>
        </is>
      </c>
      <c r="B235" t="n">
        <v>0</v>
      </c>
      <c r="C235" t="inlineStr">
        <is>
          <t>Medvědice lékařská list řez. kg</t>
        </is>
      </c>
      <c r="G235" t="n">
        <v>405.36</v>
      </c>
      <c r="H235">
        <f>G235 * B235</f>
        <v/>
      </c>
      <c r="I235" t="n">
        <v>12</v>
      </c>
      <c r="J235">
        <f>454 * B235</f>
        <v/>
      </c>
    </row>
    <row r="236" ht="12.8" customHeight="1" s="26">
      <c r="A236" t="inlineStr">
        <is>
          <t>s145</t>
        </is>
      </c>
      <c r="B236" t="n">
        <v>0</v>
      </c>
      <c r="C236" t="inlineStr">
        <is>
          <t>Medvědice lékařská list řez. kg</t>
        </is>
      </c>
      <c r="G236" t="n">
        <v>405.36</v>
      </c>
      <c r="H236">
        <f>G236 * B236</f>
        <v/>
      </c>
      <c r="I236" t="n">
        <v>12</v>
      </c>
      <c r="J236">
        <f>454 * B236</f>
        <v/>
      </c>
    </row>
    <row r="237" ht="12.8" customHeight="1" s="26">
      <c r="A237" t="inlineStr">
        <is>
          <t>s146</t>
        </is>
      </c>
      <c r="B237" t="n">
        <v>0</v>
      </c>
      <c r="C237" t="inlineStr">
        <is>
          <t>Měsíček květ - bez zákrovu kg</t>
        </is>
      </c>
      <c r="G237" t="n">
        <v>480.36</v>
      </c>
      <c r="H237">
        <f>G237 * B237</f>
        <v/>
      </c>
      <c r="I237" t="n">
        <v>12</v>
      </c>
      <c r="J237">
        <f>538 * B237</f>
        <v/>
      </c>
    </row>
    <row r="238" ht="12.8" customHeight="1" s="26">
      <c r="A238" t="inlineStr">
        <is>
          <t>s147</t>
        </is>
      </c>
      <c r="B238" t="n">
        <v>0</v>
      </c>
      <c r="C238" t="inlineStr">
        <is>
          <t>Měsíček květ - se zákrovem kg</t>
        </is>
      </c>
      <c r="G238" t="n">
        <v>359.82</v>
      </c>
      <c r="H238">
        <f>G238 * B238</f>
        <v/>
      </c>
      <c r="I238" t="n">
        <v>12</v>
      </c>
      <c r="J238">
        <f>403 * B238</f>
        <v/>
      </c>
    </row>
    <row r="239" ht="12.8" customHeight="1" s="26">
      <c r="A239" t="inlineStr">
        <is>
          <t>s1471</t>
        </is>
      </c>
      <c r="B239" t="n">
        <v>0</v>
      </c>
      <c r="C239" t="inlineStr">
        <is>
          <t>Měsíček květ - se zákrovem řez. kg</t>
        </is>
      </c>
      <c r="G239" t="n">
        <v>368.75</v>
      </c>
      <c r="H239">
        <f>G239 * B239</f>
        <v/>
      </c>
      <c r="I239" t="n">
        <v>12</v>
      </c>
      <c r="J239">
        <f>413 * B239</f>
        <v/>
      </c>
    </row>
    <row r="240" ht="12.8" customHeight="1" s="26">
      <c r="A240" t="inlineStr">
        <is>
          <t>s148</t>
        </is>
      </c>
      <c r="B240" t="n">
        <v>0</v>
      </c>
      <c r="C240" t="inlineStr">
        <is>
          <t>Mochna husí nať řez. kg</t>
        </is>
      </c>
      <c r="G240" t="n">
        <v>569.64</v>
      </c>
      <c r="H240">
        <f>G240 * B240</f>
        <v/>
      </c>
      <c r="I240" t="n">
        <v>12</v>
      </c>
      <c r="J240">
        <f>638 * B240</f>
        <v/>
      </c>
    </row>
    <row r="241" ht="12.8" customHeight="1" s="26">
      <c r="A241" t="inlineStr">
        <is>
          <t>s148</t>
        </is>
      </c>
      <c r="B241" t="n">
        <v>0</v>
      </c>
      <c r="C241" t="inlineStr">
        <is>
          <t>Mochna husí nať řez. kg</t>
        </is>
      </c>
      <c r="G241" t="n">
        <v>569.64</v>
      </c>
      <c r="H241">
        <f>G241 * B241</f>
        <v/>
      </c>
      <c r="I241" t="n">
        <v>12</v>
      </c>
      <c r="J241">
        <f>638 * B241</f>
        <v/>
      </c>
    </row>
    <row r="242" ht="12.8" customHeight="1" s="26">
      <c r="A242" t="inlineStr">
        <is>
          <t>s1481</t>
        </is>
      </c>
      <c r="B242" t="n">
        <v>0</v>
      </c>
      <c r="C242" t="inlineStr">
        <is>
          <t>Mochna nátržník kořen řez. kg</t>
        </is>
      </c>
      <c r="G242" t="n">
        <v>959.8200000000001</v>
      </c>
      <c r="H242">
        <f>G242 * B242</f>
        <v/>
      </c>
      <c r="I242" t="n">
        <v>12</v>
      </c>
      <c r="J242">
        <f>1075 * B242</f>
        <v/>
      </c>
    </row>
    <row r="243" ht="12.8" customHeight="1" s="26">
      <c r="A243" t="inlineStr">
        <is>
          <t>s149</t>
        </is>
      </c>
      <c r="B243" t="n">
        <v>0</v>
      </c>
      <c r="C243" t="inlineStr">
        <is>
          <t>Mochna stříbrná nať řez. kg</t>
        </is>
      </c>
      <c r="G243" t="n">
        <v>659.8200000000001</v>
      </c>
      <c r="H243">
        <f>G243 * B243</f>
        <v/>
      </c>
      <c r="I243" t="n">
        <v>12</v>
      </c>
      <c r="J243">
        <f>739 * B243</f>
        <v/>
      </c>
    </row>
    <row r="244" ht="12.8" customHeight="1" s="26">
      <c r="A244" t="inlineStr">
        <is>
          <t>s1491</t>
        </is>
      </c>
      <c r="B244" t="n">
        <v>0</v>
      </c>
      <c r="C244" t="inlineStr">
        <is>
          <t>Moringa olejodárná list řez. (flakes) kg</t>
        </is>
      </c>
      <c r="G244" t="n">
        <v>2219.64</v>
      </c>
      <c r="H244">
        <f>G244 * B244</f>
        <v/>
      </c>
      <c r="I244" t="n">
        <v>12</v>
      </c>
      <c r="J244">
        <f>2486 * B244</f>
        <v/>
      </c>
    </row>
    <row r="245" ht="12.8" customHeight="1" s="26">
      <c r="A245" t="inlineStr">
        <is>
          <t>s150</t>
        </is>
      </c>
      <c r="B245" t="n">
        <v>0</v>
      </c>
      <c r="C245" t="inlineStr">
        <is>
          <t>Mrkev obecná kořen kostka řez. kg</t>
        </is>
      </c>
      <c r="G245" t="n">
        <v>194.64</v>
      </c>
      <c r="H245">
        <f>G245 * B245</f>
        <v/>
      </c>
      <c r="I245" t="n">
        <v>12</v>
      </c>
      <c r="J245">
        <f>218 * B245</f>
        <v/>
      </c>
    </row>
    <row r="246" ht="12.8" customHeight="1" s="26">
      <c r="A246" t="inlineStr">
        <is>
          <t>s151</t>
        </is>
      </c>
      <c r="B246" t="n">
        <v>0</v>
      </c>
      <c r="C246" t="inlineStr">
        <is>
          <t>Mučenka pletní nať řez. kg</t>
        </is>
      </c>
      <c r="G246" t="n">
        <v>390.18</v>
      </c>
      <c r="H246">
        <f>G246 * B246</f>
        <v/>
      </c>
      <c r="I246" t="n">
        <v>12</v>
      </c>
      <c r="J246">
        <f>437 * B246</f>
        <v/>
      </c>
    </row>
    <row r="247" ht="12.8" customHeight="1" s="26">
      <c r="A247" s="49" t="inlineStr">
        <is>
          <t>s152</t>
        </is>
      </c>
      <c r="B247" s="49" t="inlineStr">
        <is>
          <t>-</t>
        </is>
      </c>
      <c r="C247" s="49" t="inlineStr">
        <is>
          <t>Muškátovník vonný (květ) celý kg</t>
        </is>
      </c>
      <c r="D247" s="49" t="n"/>
      <c r="E247" s="49" t="n"/>
      <c r="F247" s="49" t="n"/>
      <c r="G247" s="49" t="inlineStr">
        <is>
          <t>-</t>
        </is>
      </c>
      <c r="H247" s="49" t="n"/>
      <c r="I247" s="49" t="n">
        <v>12</v>
      </c>
      <c r="J247" s="49" t="n"/>
      <c r="K247" s="49" t="n"/>
    </row>
    <row r="248" ht="12.8" customHeight="1" s="26">
      <c r="A248" s="49" t="inlineStr">
        <is>
          <t>s1521</t>
        </is>
      </c>
      <c r="B248" s="49" t="inlineStr">
        <is>
          <t>-</t>
        </is>
      </c>
      <c r="C248" s="49" t="inlineStr">
        <is>
          <t>Muškátovník vonný (květ) mlety (prosev) kg</t>
        </is>
      </c>
      <c r="D248" s="49" t="n"/>
      <c r="E248" s="49" t="n"/>
      <c r="F248" s="49" t="n"/>
      <c r="G248" s="49" t="n">
        <v>2969.64</v>
      </c>
      <c r="H248" s="49" t="n"/>
      <c r="I248" s="49" t="n">
        <v>12</v>
      </c>
      <c r="J248" s="49" t="n"/>
      <c r="K248" s="49" t="n"/>
    </row>
    <row r="249" ht="12.8" customHeight="1" s="26">
      <c r="A249" s="49" t="inlineStr">
        <is>
          <t>s1522</t>
        </is>
      </c>
      <c r="B249" s="49" t="inlineStr">
        <is>
          <t>-</t>
        </is>
      </c>
      <c r="C249" s="49" t="inlineStr">
        <is>
          <t>Muškátovník vonný (ořech) celý kg</t>
        </is>
      </c>
      <c r="D249" s="49" t="n"/>
      <c r="E249" s="49" t="n"/>
      <c r="F249" s="49" t="n"/>
      <c r="G249" s="49" t="n">
        <v>930.36</v>
      </c>
      <c r="H249" s="49" t="n"/>
      <c r="I249" s="49" t="n">
        <v>12</v>
      </c>
      <c r="J249" s="49" t="n"/>
      <c r="K249" s="49" t="n"/>
    </row>
    <row r="250" ht="12.8" customHeight="1" s="26">
      <c r="A250" s="49" t="inlineStr">
        <is>
          <t>s1523</t>
        </is>
      </c>
      <c r="B250" s="49" t="inlineStr">
        <is>
          <t>-</t>
        </is>
      </c>
      <c r="C250" s="49" t="inlineStr">
        <is>
          <t>Muškátovník vonný (ořech) mlety (prosev) kg</t>
        </is>
      </c>
      <c r="D250" s="49" t="n"/>
      <c r="E250" s="49" t="n"/>
      <c r="F250" s="49" t="n"/>
      <c r="G250" s="49" t="n">
        <v>866.96</v>
      </c>
      <c r="H250" s="49" t="n"/>
      <c r="I250" s="49" t="n">
        <v>12</v>
      </c>
      <c r="J250" s="49" t="n"/>
      <c r="K250" s="49" t="n"/>
    </row>
    <row r="251" ht="12.8" customHeight="1" s="26">
      <c r="A251" t="inlineStr">
        <is>
          <t>s153</t>
        </is>
      </c>
      <c r="B251" t="n">
        <v>0</v>
      </c>
      <c r="C251" t="inlineStr">
        <is>
          <t>Mydlice lékařská kořen řez. kg</t>
        </is>
      </c>
      <c r="G251" t="n">
        <v>447.32</v>
      </c>
      <c r="H251">
        <f>G251 * B251</f>
        <v/>
      </c>
      <c r="I251" t="n">
        <v>12</v>
      </c>
      <c r="J251">
        <f>501 * B251</f>
        <v/>
      </c>
    </row>
    <row r="252" ht="12.8" customHeight="1" s="26">
      <c r="A252" s="49" t="inlineStr">
        <is>
          <t>s1531</t>
        </is>
      </c>
      <c r="B252" s="49" t="inlineStr">
        <is>
          <t>-</t>
        </is>
      </c>
      <c r="C252" s="49" t="inlineStr">
        <is>
          <t>Myrha (Myrhovník molmolový) pryskyřice řez. kg</t>
        </is>
      </c>
      <c r="D252" s="49" t="n"/>
      <c r="E252" s="49" t="n"/>
      <c r="F252" s="49" t="n"/>
      <c r="G252" s="49" t="n">
        <v>1965.18</v>
      </c>
      <c r="H252" s="49" t="n"/>
      <c r="I252" s="49" t="n">
        <v>12</v>
      </c>
      <c r="J252" s="49" t="n"/>
      <c r="K252" s="49" t="n"/>
    </row>
    <row r="253" ht="12.8" customHeight="1" s="26">
      <c r="A253" s="49" t="inlineStr">
        <is>
          <t>s154</t>
        </is>
      </c>
      <c r="B253" s="49" t="inlineStr">
        <is>
          <t>-</t>
        </is>
      </c>
      <c r="C253" s="49" t="inlineStr">
        <is>
          <t>Nové koření (Pimentovník pravý) plod celý kg</t>
        </is>
      </c>
      <c r="D253" s="49" t="n"/>
      <c r="E253" s="49" t="n"/>
      <c r="F253" s="49" t="n"/>
      <c r="G253" s="49" t="n">
        <v>344.64</v>
      </c>
      <c r="H253" s="49" t="n"/>
      <c r="I253" s="49" t="n">
        <v>12</v>
      </c>
      <c r="J253" s="49" t="n"/>
      <c r="K253" s="49" t="n"/>
    </row>
    <row r="254" ht="12.8" customHeight="1" s="26">
      <c r="A254" s="49" t="inlineStr">
        <is>
          <t>s1542</t>
        </is>
      </c>
      <c r="B254" s="49" t="inlineStr">
        <is>
          <t>-</t>
        </is>
      </c>
      <c r="C254" s="49" t="inlineStr">
        <is>
          <t>Olibanum (Kadidlovník pravý) pryskyřice řez. kg</t>
        </is>
      </c>
      <c r="D254" s="49" t="n"/>
      <c r="E254" s="49" t="n"/>
      <c r="F254" s="49" t="n"/>
      <c r="G254" s="49" t="n">
        <v>1019.64</v>
      </c>
      <c r="H254" s="49" t="n"/>
      <c r="I254" s="49" t="n">
        <v>12</v>
      </c>
      <c r="J254" s="49" t="n"/>
      <c r="K254" s="49" t="n"/>
    </row>
    <row r="255" ht="12.8" customHeight="1" s="26">
      <c r="A255" t="inlineStr">
        <is>
          <t>s155</t>
        </is>
      </c>
      <c r="B255" t="n">
        <v>0</v>
      </c>
      <c r="C255" t="inlineStr">
        <is>
          <t>Oman pravý kořen řez. kg</t>
        </is>
      </c>
      <c r="G255" t="n">
        <v>315.18</v>
      </c>
      <c r="H255">
        <f>G255 * B255</f>
        <v/>
      </c>
      <c r="I255" t="n">
        <v>12</v>
      </c>
      <c r="J255">
        <f>353 * B255</f>
        <v/>
      </c>
    </row>
    <row r="256" ht="12.8" customHeight="1" s="26">
      <c r="A256" t="inlineStr">
        <is>
          <t>s155</t>
        </is>
      </c>
      <c r="B256" t="n">
        <v>0</v>
      </c>
      <c r="C256" t="inlineStr">
        <is>
          <t>Oman pravý kořen řez. kg</t>
        </is>
      </c>
      <c r="G256" t="n">
        <v>315.18</v>
      </c>
      <c r="H256">
        <f>G256 * B256</f>
        <v/>
      </c>
      <c r="I256" t="n">
        <v>12</v>
      </c>
      <c r="J256">
        <f>353 * B256</f>
        <v/>
      </c>
    </row>
    <row r="257" ht="12.8" customHeight="1" s="26">
      <c r="A257" t="inlineStr">
        <is>
          <t>s156</t>
        </is>
      </c>
      <c r="B257" t="n">
        <v>0</v>
      </c>
      <c r="C257" t="inlineStr">
        <is>
          <t>Ořešák královský list řez. kg</t>
        </is>
      </c>
      <c r="G257" t="n">
        <v>246.43</v>
      </c>
      <c r="H257">
        <f>G257 * B257</f>
        <v/>
      </c>
      <c r="I257" t="n">
        <v>12</v>
      </c>
      <c r="J257">
        <f>276 * B257</f>
        <v/>
      </c>
    </row>
    <row r="258" ht="12.8" customHeight="1" s="26">
      <c r="A258" s="49" t="inlineStr">
        <is>
          <t>s1561</t>
        </is>
      </c>
      <c r="B258" s="49" t="inlineStr">
        <is>
          <t>-</t>
        </is>
      </c>
      <c r="C258" s="49" t="inlineStr">
        <is>
          <t>Ořešák královský oplodí řez. kg</t>
        </is>
      </c>
      <c r="D258" s="49" t="n"/>
      <c r="E258" s="49" t="n"/>
      <c r="F258" s="49" t="n"/>
      <c r="G258" s="49" t="n">
        <v>240.18</v>
      </c>
      <c r="H258" s="49" t="n"/>
      <c r="I258" s="49" t="n">
        <v>12</v>
      </c>
      <c r="J258" s="49" t="n"/>
      <c r="K258" s="49" t="n"/>
    </row>
    <row r="259" ht="12.8" customHeight="1" s="26">
      <c r="A259" t="inlineStr">
        <is>
          <t>s157</t>
        </is>
      </c>
      <c r="B259" t="n">
        <v>0</v>
      </c>
      <c r="C259" t="inlineStr">
        <is>
          <t>Ostropestřec mariánský plod celý kg</t>
        </is>
      </c>
      <c r="G259" t="n">
        <v>165.18</v>
      </c>
      <c r="H259">
        <f>G259 * B259</f>
        <v/>
      </c>
      <c r="I259" t="n">
        <v>12</v>
      </c>
      <c r="J259">
        <f>185 * B259</f>
        <v/>
      </c>
    </row>
    <row r="260" ht="12.8" customHeight="1" s="26">
      <c r="A260" t="inlineStr">
        <is>
          <t>s158</t>
        </is>
      </c>
      <c r="B260" t="n">
        <v>0</v>
      </c>
      <c r="C260" t="inlineStr">
        <is>
          <t>Ostropestřec mariánský plod tlučený (prosev) kg</t>
        </is>
      </c>
      <c r="G260" t="n">
        <v>180.36</v>
      </c>
      <c r="H260">
        <f>G260 * B260</f>
        <v/>
      </c>
      <c r="I260" t="n">
        <v>12</v>
      </c>
      <c r="J260">
        <f>202 * B260</f>
        <v/>
      </c>
    </row>
    <row r="261" ht="12.8" customHeight="1" s="26">
      <c r="A261" t="inlineStr">
        <is>
          <t>s159</t>
        </is>
      </c>
      <c r="B261" t="n">
        <v>0</v>
      </c>
      <c r="C261" t="inlineStr">
        <is>
          <t>Ostružiník křovitý list řez. kg</t>
        </is>
      </c>
      <c r="G261" t="n">
        <v>209.82</v>
      </c>
      <c r="H261">
        <f>G261 * B261</f>
        <v/>
      </c>
      <c r="I261" t="n">
        <v>12</v>
      </c>
      <c r="J261">
        <f>235 * B261</f>
        <v/>
      </c>
    </row>
    <row r="262" ht="12.8" customHeight="1" s="26">
      <c r="A262" t="inlineStr">
        <is>
          <t>s159</t>
        </is>
      </c>
      <c r="B262" t="n">
        <v>0</v>
      </c>
      <c r="C262" t="inlineStr">
        <is>
          <t>Ostružiník křovitý list řez. kg</t>
        </is>
      </c>
      <c r="G262" t="n">
        <v>209.82</v>
      </c>
      <c r="H262">
        <f>G262 * B262</f>
        <v/>
      </c>
      <c r="I262" t="n">
        <v>12</v>
      </c>
      <c r="J262">
        <f>235 * B262</f>
        <v/>
      </c>
    </row>
    <row r="263" ht="12.8" customHeight="1" s="26">
      <c r="A263" t="inlineStr">
        <is>
          <t>s161</t>
        </is>
      </c>
      <c r="B263" t="n">
        <v>0</v>
      </c>
      <c r="C263" t="inlineStr">
        <is>
          <t>Pampeliška lékařská kořen řez. kg</t>
        </is>
      </c>
      <c r="G263" t="n">
        <v>564.29</v>
      </c>
      <c r="H263">
        <f>G263 * B263</f>
        <v/>
      </c>
      <c r="I263" t="n">
        <v>12</v>
      </c>
      <c r="J263">
        <f>632 * B263</f>
        <v/>
      </c>
    </row>
    <row r="264" ht="12.8" customHeight="1" s="26">
      <c r="A264" t="inlineStr">
        <is>
          <t>s163</t>
        </is>
      </c>
      <c r="B264" t="n">
        <v>0</v>
      </c>
      <c r="C264" t="inlineStr">
        <is>
          <t>Pampeliška lékařská list řez. kg</t>
        </is>
      </c>
      <c r="G264" t="n">
        <v>240.18</v>
      </c>
      <c r="H264">
        <f>G264 * B264</f>
        <v/>
      </c>
      <c r="I264" t="n">
        <v>12</v>
      </c>
      <c r="J264">
        <f>269 * B264</f>
        <v/>
      </c>
    </row>
    <row r="265" ht="12.8" customHeight="1" s="26">
      <c r="A265" t="inlineStr">
        <is>
          <t>s164</t>
        </is>
      </c>
      <c r="B265" t="n">
        <v>0</v>
      </c>
      <c r="C265" t="inlineStr">
        <is>
          <t>Pelyněk černobýl nať řez. kg</t>
        </is>
      </c>
      <c r="G265" t="n">
        <v>284.82</v>
      </c>
      <c r="H265">
        <f>G265 * B265</f>
        <v/>
      </c>
      <c r="I265" t="n">
        <v>12</v>
      </c>
      <c r="J265">
        <f>319 * B265</f>
        <v/>
      </c>
    </row>
    <row r="266" ht="12.8" customHeight="1" s="26">
      <c r="A266" t="inlineStr">
        <is>
          <t>s166</t>
        </is>
      </c>
      <c r="B266" t="n">
        <v>0</v>
      </c>
      <c r="C266" t="inlineStr">
        <is>
          <t>Pelyněk pravý nať řez. kg</t>
        </is>
      </c>
      <c r="G266" t="n">
        <v>209.82</v>
      </c>
      <c r="H266">
        <f>G266 * B266</f>
        <v/>
      </c>
      <c r="I266" t="n">
        <v>12</v>
      </c>
      <c r="J266">
        <f>235 * B266</f>
        <v/>
      </c>
    </row>
    <row r="267" ht="12.8" customHeight="1" s="26">
      <c r="A267" s="49" t="inlineStr">
        <is>
          <t>s1661</t>
        </is>
      </c>
      <c r="B267" s="49" t="inlineStr">
        <is>
          <t>-</t>
        </is>
      </c>
      <c r="C267" s="49" t="inlineStr">
        <is>
          <t>Pepř bílý (Pepřovník) plod celý kg</t>
        </is>
      </c>
      <c r="D267" s="49" t="n"/>
      <c r="E267" s="49" t="n"/>
      <c r="F267" s="49" t="n"/>
      <c r="G267" s="49" t="n">
        <v>480.36</v>
      </c>
      <c r="H267" s="49" t="n"/>
      <c r="I267" s="49" t="n">
        <v>12</v>
      </c>
      <c r="J267" s="49" t="n"/>
      <c r="K267" s="49" t="n"/>
    </row>
    <row r="268" ht="12.8" customHeight="1" s="26">
      <c r="A268" s="49" t="inlineStr">
        <is>
          <t>s1662</t>
        </is>
      </c>
      <c r="B268" s="49" t="inlineStr">
        <is>
          <t>-</t>
        </is>
      </c>
      <c r="C268" s="49" t="inlineStr">
        <is>
          <t>Pepř černý (Pepřovník) plod celý kg</t>
        </is>
      </c>
      <c r="D268" s="49" t="n"/>
      <c r="E268" s="49" t="n"/>
      <c r="F268" s="49" t="n"/>
      <c r="G268" s="49" t="n">
        <v>255.36</v>
      </c>
      <c r="H268" s="49" t="n"/>
      <c r="I268" s="49" t="n">
        <v>12</v>
      </c>
      <c r="J268" s="49" t="n"/>
      <c r="K268" s="49" t="n"/>
    </row>
    <row r="269" ht="12.8" customHeight="1" s="26">
      <c r="A269" s="49" t="inlineStr">
        <is>
          <t>s1663</t>
        </is>
      </c>
      <c r="B269" s="49" t="inlineStr">
        <is>
          <t>-</t>
        </is>
      </c>
      <c r="C269" s="49" t="inlineStr">
        <is>
          <t>Pepř černý (Pepřovník) plod mletý (prosev) kg</t>
        </is>
      </c>
      <c r="D269" s="49" t="n"/>
      <c r="E269" s="49" t="n"/>
      <c r="F269" s="49" t="n"/>
      <c r="G269" s="49" t="n">
        <v>266.96</v>
      </c>
      <c r="H269" s="49" t="n"/>
      <c r="I269" s="49" t="n">
        <v>12</v>
      </c>
      <c r="J269" s="49" t="n"/>
      <c r="K269" s="49" t="n"/>
    </row>
    <row r="270" ht="12.8" customHeight="1" s="26">
      <c r="A270" s="49" t="inlineStr">
        <is>
          <t>s1664</t>
        </is>
      </c>
      <c r="B270" s="49" t="inlineStr">
        <is>
          <t>-</t>
        </is>
      </c>
      <c r="C270" s="49" t="inlineStr">
        <is>
          <t>Pepř červený (Pepřovník) plod celý kg</t>
        </is>
      </c>
      <c r="D270" s="49" t="n"/>
      <c r="E270" s="49" t="n"/>
      <c r="F270" s="49" t="n"/>
      <c r="G270" s="49" t="n">
        <v>1259.82</v>
      </c>
      <c r="H270" s="49" t="n"/>
      <c r="I270" s="49" t="n">
        <v>12</v>
      </c>
      <c r="J270" s="49" t="n"/>
      <c r="K270" s="49" t="n"/>
    </row>
    <row r="271" ht="12.8" customHeight="1" s="26">
      <c r="A271" s="49" t="inlineStr">
        <is>
          <t>s1665</t>
        </is>
      </c>
      <c r="B271" s="49" t="inlineStr">
        <is>
          <t>-</t>
        </is>
      </c>
      <c r="C271" s="49" t="inlineStr">
        <is>
          <t>Pepř čtyř barev (Pepřovník) plod celý kg</t>
        </is>
      </c>
      <c r="D271" s="49" t="n"/>
      <c r="E271" s="49" t="n"/>
      <c r="F271" s="49" t="n"/>
      <c r="G271" s="49" t="n">
        <v>659.8200000000001</v>
      </c>
      <c r="H271" s="49" t="n"/>
      <c r="I271" s="49" t="n">
        <v>12</v>
      </c>
      <c r="J271" s="49" t="n"/>
      <c r="K271" s="49" t="n"/>
    </row>
    <row r="272" ht="12.8" customHeight="1" s="26">
      <c r="A272" s="49" t="inlineStr">
        <is>
          <t>s1666</t>
        </is>
      </c>
      <c r="B272" s="49" t="inlineStr">
        <is>
          <t>-</t>
        </is>
      </c>
      <c r="C272" s="49" t="inlineStr">
        <is>
          <t>Pepř zelený (Pepřovník) plod celý kg</t>
        </is>
      </c>
      <c r="D272" s="49" t="n"/>
      <c r="E272" s="49" t="n"/>
      <c r="F272" s="49" t="n"/>
      <c r="G272" s="49" t="n">
        <v>1188.39</v>
      </c>
      <c r="H272" s="49" t="n"/>
      <c r="I272" s="49" t="n">
        <v>12</v>
      </c>
      <c r="J272" s="49" t="n"/>
      <c r="K272" s="49" t="n"/>
    </row>
    <row r="273" ht="12.8" customHeight="1" s="26">
      <c r="A273" s="49" t="inlineStr">
        <is>
          <t>s169</t>
        </is>
      </c>
      <c r="B273" s="49" t="inlineStr">
        <is>
          <t>-</t>
        </is>
      </c>
      <c r="C273" s="49" t="inlineStr">
        <is>
          <t>Řecké seno (Pískavice) semeno celé kg</t>
        </is>
      </c>
      <c r="D273" s="49" t="n"/>
      <c r="E273" s="49" t="n"/>
      <c r="F273" s="49" t="n"/>
      <c r="G273" s="49" t="n">
        <v>143.75</v>
      </c>
      <c r="H273" s="49" t="n"/>
      <c r="I273" s="49" t="n">
        <v>12</v>
      </c>
      <c r="J273" s="49" t="n"/>
      <c r="K273" s="49" t="n"/>
    </row>
    <row r="274" ht="12.8" customHeight="1" s="26">
      <c r="A274" t="inlineStr">
        <is>
          <t>s170</t>
        </is>
      </c>
      <c r="B274" t="n">
        <v>0</v>
      </c>
      <c r="C274" t="inlineStr">
        <is>
          <t>Pivoňka lékařská květ celý kg</t>
        </is>
      </c>
      <c r="G274" t="n">
        <v>555.36</v>
      </c>
      <c r="H274">
        <f>G274 * B274</f>
        <v/>
      </c>
      <c r="I274" t="n">
        <v>12</v>
      </c>
      <c r="J274">
        <f>622 * B274</f>
        <v/>
      </c>
    </row>
    <row r="275" ht="12.8" customHeight="1" s="26">
      <c r="A275" t="inlineStr">
        <is>
          <t>s171</t>
        </is>
      </c>
      <c r="B275" t="n">
        <v>0</v>
      </c>
      <c r="C275" t="inlineStr">
        <is>
          <t>Plavuň vidlačka nať řez. kg</t>
        </is>
      </c>
      <c r="G275" t="n">
        <v>701.79</v>
      </c>
      <c r="H275">
        <f>G275 * B275</f>
        <v/>
      </c>
      <c r="I275" t="n">
        <v>12</v>
      </c>
      <c r="J275">
        <f>786 * B275</f>
        <v/>
      </c>
    </row>
    <row r="276" ht="12.8" customHeight="1" s="26">
      <c r="A276" s="49" t="inlineStr">
        <is>
          <t>s172</t>
        </is>
      </c>
      <c r="B276" s="49" t="inlineStr">
        <is>
          <t>-</t>
        </is>
      </c>
      <c r="C276" s="49" t="inlineStr">
        <is>
          <t>Plavuň vidlačka výtrusy plv. kg</t>
        </is>
      </c>
      <c r="D276" s="49" t="n"/>
      <c r="E276" s="49" t="n"/>
      <c r="F276" s="49" t="n"/>
      <c r="G276" s="49" t="n">
        <v>540.1799999999999</v>
      </c>
      <c r="H276" s="49" t="n"/>
      <c r="I276" s="49" t="n">
        <v>12</v>
      </c>
      <c r="J276" s="49" t="n"/>
      <c r="K276" s="49" t="n"/>
    </row>
    <row r="277" ht="12.8" customHeight="1" s="26">
      <c r="A277" s="49" t="inlineStr">
        <is>
          <t>s173</t>
        </is>
      </c>
      <c r="B277" s="49" t="inlineStr">
        <is>
          <t>-</t>
        </is>
      </c>
      <c r="C277" s="49" t="inlineStr">
        <is>
          <t>Plicník lékařský list řez. kg</t>
        </is>
      </c>
      <c r="D277" s="49" t="n"/>
      <c r="E277" s="49" t="n"/>
      <c r="F277" s="49" t="n"/>
      <c r="G277" s="49" t="n">
        <v>659.8200000000001</v>
      </c>
      <c r="H277" s="49" t="n"/>
      <c r="I277" s="49" t="n">
        <v>12</v>
      </c>
      <c r="J277" s="49" t="n"/>
      <c r="K277" s="49" t="n"/>
    </row>
    <row r="278" ht="12.8" customHeight="1" s="26">
      <c r="A278" s="49" t="inlineStr">
        <is>
          <t>s1731</t>
        </is>
      </c>
      <c r="B278" s="49" t="inlineStr">
        <is>
          <t>-</t>
        </is>
      </c>
      <c r="C278" s="49" t="inlineStr">
        <is>
          <t>Ploštičník evropský kořen řez. kg</t>
        </is>
      </c>
      <c r="D278" s="49" t="n"/>
      <c r="E278" s="49" t="n"/>
      <c r="F278" s="49" t="n"/>
      <c r="G278" s="49" t="n">
        <v>3480.36</v>
      </c>
      <c r="H278" s="49" t="n"/>
      <c r="I278" s="49" t="n">
        <v>12</v>
      </c>
      <c r="J278" s="49" t="n"/>
      <c r="K278" s="49" t="n"/>
    </row>
    <row r="279" ht="12.8" customHeight="1" s="26">
      <c r="A279" s="49" t="inlineStr">
        <is>
          <t>s174</t>
        </is>
      </c>
      <c r="B279" s="49" t="inlineStr">
        <is>
          <t>-</t>
        </is>
      </c>
      <c r="C279" s="49" t="inlineStr">
        <is>
          <t>Podběl lékařský květ celý kg</t>
        </is>
      </c>
      <c r="D279" s="49" t="n"/>
      <c r="E279" s="49" t="n"/>
      <c r="F279" s="49" t="n"/>
      <c r="G279" s="49" t="n">
        <v>825</v>
      </c>
      <c r="H279" s="49" t="n"/>
      <c r="I279" s="49" t="n">
        <v>12</v>
      </c>
      <c r="J279" s="49" t="n"/>
      <c r="K279" s="49" t="n"/>
    </row>
    <row r="280" ht="12.8" customHeight="1" s="26">
      <c r="A280" s="49" t="inlineStr">
        <is>
          <t>s175</t>
        </is>
      </c>
      <c r="B280" s="49" t="inlineStr">
        <is>
          <t>-</t>
        </is>
      </c>
      <c r="C280" s="49" t="inlineStr">
        <is>
          <t>Podběl lékařský list řez. kg</t>
        </is>
      </c>
      <c r="D280" s="49" t="n"/>
      <c r="E280" s="49" t="n"/>
      <c r="F280" s="49" t="n"/>
      <c r="G280" s="49" t="n">
        <v>591.0700000000001</v>
      </c>
      <c r="H280" s="49" t="n"/>
      <c r="I280" s="49" t="n">
        <v>12</v>
      </c>
      <c r="J280" s="49" t="n"/>
      <c r="K280" s="49" t="n"/>
    </row>
    <row r="281" ht="12.8" customHeight="1" s="26">
      <c r="A281" s="49" t="inlineStr">
        <is>
          <t>s176</t>
        </is>
      </c>
      <c r="B281" s="49" t="inlineStr">
        <is>
          <t>-</t>
        </is>
      </c>
      <c r="C281" s="49" t="inlineStr">
        <is>
          <t>Pohanka obecná nať řez. kg</t>
        </is>
      </c>
      <c r="D281" s="49" t="n"/>
      <c r="E281" s="49" t="n"/>
      <c r="F281" s="49" t="n"/>
      <c r="G281" s="49" t="n">
        <v>185.71</v>
      </c>
      <c r="H281" s="49" t="n"/>
      <c r="I281" s="49" t="n">
        <v>12</v>
      </c>
      <c r="J281" s="49" t="n"/>
      <c r="K281" s="49" t="n"/>
    </row>
    <row r="282" ht="12.8" customHeight="1" s="26">
      <c r="A282" t="inlineStr">
        <is>
          <t>s177</t>
        </is>
      </c>
      <c r="B282" t="n">
        <v>0</v>
      </c>
      <c r="C282" t="inlineStr">
        <is>
          <t>Pohanka obecná slupky celé kg</t>
        </is>
      </c>
      <c r="G282" t="n">
        <v>75</v>
      </c>
      <c r="H282">
        <f>G282 * B282</f>
        <v/>
      </c>
      <c r="I282" t="n">
        <v>12</v>
      </c>
      <c r="J282">
        <f>84 * B282</f>
        <v/>
      </c>
    </row>
    <row r="283" ht="12.8" customHeight="1" s="26">
      <c r="A283" s="49" t="inlineStr">
        <is>
          <t>s178</t>
        </is>
      </c>
      <c r="B283" s="49" t="inlineStr">
        <is>
          <t>-</t>
        </is>
      </c>
      <c r="C283" s="49" t="inlineStr">
        <is>
          <t>Pomeranč květ řez. kg</t>
        </is>
      </c>
      <c r="D283" s="49" t="n"/>
      <c r="E283" s="49" t="n"/>
      <c r="F283" s="49" t="n"/>
      <c r="G283" s="49" t="n">
        <v>719.64</v>
      </c>
      <c r="H283" s="49" t="n"/>
      <c r="I283" s="49" t="n">
        <v>12</v>
      </c>
      <c r="J283" s="49" t="n"/>
      <c r="K283" s="49" t="n"/>
    </row>
    <row r="284" ht="12.8" customHeight="1" s="26">
      <c r="A284" t="inlineStr">
        <is>
          <t>s179</t>
        </is>
      </c>
      <c r="B284" t="n">
        <v>0</v>
      </c>
      <c r="C284" t="inlineStr">
        <is>
          <t>Pomeranč oplodí kostky řez. kg</t>
        </is>
      </c>
      <c r="G284" t="n">
        <v>194.64</v>
      </c>
      <c r="H284">
        <f>G284 * B284</f>
        <v/>
      </c>
      <c r="I284" t="n">
        <v>12</v>
      </c>
      <c r="J284">
        <f>218 * B284</f>
        <v/>
      </c>
    </row>
    <row r="285" ht="12.8" customHeight="1" s="26">
      <c r="A285" s="49" t="inlineStr">
        <is>
          <t>s180</t>
        </is>
      </c>
      <c r="B285" s="49" t="inlineStr">
        <is>
          <t>-</t>
        </is>
      </c>
      <c r="C285" s="49" t="inlineStr">
        <is>
          <t>Popenec břečťanovitý nať řez. kg</t>
        </is>
      </c>
      <c r="D285" s="49" t="n"/>
      <c r="E285" s="49" t="n"/>
      <c r="F285" s="49" t="n"/>
      <c r="G285" s="49" t="n">
        <v>240.18</v>
      </c>
      <c r="H285" s="49" t="n"/>
      <c r="I285" s="49" t="n">
        <v>12</v>
      </c>
      <c r="J285" s="49" t="n"/>
      <c r="K285" s="49" t="n"/>
    </row>
    <row r="286" ht="12.8" customHeight="1" s="26">
      <c r="A286" t="inlineStr">
        <is>
          <t>s181</t>
        </is>
      </c>
      <c r="B286" t="n">
        <v>0</v>
      </c>
      <c r="C286" t="inlineStr">
        <is>
          <t>Proskurník lékařský kořen řez. kg</t>
        </is>
      </c>
      <c r="G286" t="n">
        <v>416.96</v>
      </c>
      <c r="H286">
        <f>G286 * B286</f>
        <v/>
      </c>
      <c r="I286" t="n">
        <v>12</v>
      </c>
      <c r="J286">
        <f>467 * B286</f>
        <v/>
      </c>
    </row>
    <row r="287" ht="12.8" customHeight="1" s="26">
      <c r="A287" s="49" t="inlineStr">
        <is>
          <t>s1811</t>
        </is>
      </c>
      <c r="B287" s="49" t="inlineStr">
        <is>
          <t>-</t>
        </is>
      </c>
      <c r="C287" s="49" t="inlineStr">
        <is>
          <t>Proskurník lékařský list řez. kg</t>
        </is>
      </c>
      <c r="D287" s="49" t="n"/>
      <c r="E287" s="49" t="n"/>
      <c r="F287" s="49" t="n"/>
      <c r="G287" s="49" t="n">
        <v>300</v>
      </c>
      <c r="H287" s="49" t="n"/>
      <c r="I287" s="49" t="n">
        <v>12</v>
      </c>
      <c r="J287" s="49" t="n"/>
      <c r="K287" s="49" t="n"/>
    </row>
    <row r="288" ht="12.8" customHeight="1" s="26">
      <c r="A288" t="inlineStr">
        <is>
          <t>s182</t>
        </is>
      </c>
      <c r="B288" t="n">
        <v>0</v>
      </c>
      <c r="C288" t="inlineStr">
        <is>
          <t>Průtržník lysý nať řez. kg</t>
        </is>
      </c>
      <c r="G288" t="n">
        <v>399.11</v>
      </c>
      <c r="H288">
        <f>G288 * B288</f>
        <v/>
      </c>
      <c r="I288" t="n">
        <v>12</v>
      </c>
      <c r="J288">
        <f>447 * B288</f>
        <v/>
      </c>
    </row>
    <row r="289" ht="12.8" customHeight="1" s="26">
      <c r="A289" s="49" t="inlineStr">
        <is>
          <t>s183</t>
        </is>
      </c>
      <c r="B289" s="49" t="inlineStr">
        <is>
          <t>-</t>
        </is>
      </c>
      <c r="C289" s="49" t="inlineStr">
        <is>
          <t>Prvosenka jarní květ celý kg</t>
        </is>
      </c>
      <c r="D289" s="49" t="n"/>
      <c r="E289" s="49" t="n"/>
      <c r="F289" s="49" t="n"/>
      <c r="G289" s="49" t="n">
        <v>1575</v>
      </c>
      <c r="H289" s="49" t="n"/>
      <c r="I289" s="49" t="n">
        <v>12</v>
      </c>
      <c r="J289" s="49" t="n"/>
      <c r="K289" s="49" t="n"/>
    </row>
    <row r="290" ht="12.8" customHeight="1" s="26">
      <c r="A290" s="49" t="inlineStr">
        <is>
          <t>s183</t>
        </is>
      </c>
      <c r="B290" s="49" t="inlineStr">
        <is>
          <t>-</t>
        </is>
      </c>
      <c r="C290" s="49" t="inlineStr">
        <is>
          <t>Prvosenka jarní květ celý kg</t>
        </is>
      </c>
      <c r="D290" s="49" t="n"/>
      <c r="E290" s="49" t="n"/>
      <c r="F290" s="49" t="n"/>
      <c r="G290" s="49" t="n">
        <v>1575</v>
      </c>
      <c r="H290" s="49" t="n"/>
      <c r="I290" s="49" t="n">
        <v>12</v>
      </c>
      <c r="J290" s="49" t="n"/>
      <c r="K290" s="49" t="n"/>
    </row>
    <row r="291" ht="12.8" customHeight="1" s="26">
      <c r="A291" t="inlineStr">
        <is>
          <t>s184</t>
        </is>
      </c>
      <c r="B291" t="n">
        <v>0</v>
      </c>
      <c r="C291" t="inlineStr">
        <is>
          <t>Přeslička rolní nať řez. kg</t>
        </is>
      </c>
      <c r="G291" t="n">
        <v>302.68</v>
      </c>
      <c r="H291">
        <f>G291 * B291</f>
        <v/>
      </c>
      <c r="I291" t="n">
        <v>12</v>
      </c>
      <c r="J291">
        <f>339 * B291</f>
        <v/>
      </c>
    </row>
    <row r="292" ht="12.8" customHeight="1" s="26">
      <c r="A292" s="49" t="inlineStr">
        <is>
          <t>s185</t>
        </is>
      </c>
      <c r="B292" s="49" t="inlineStr">
        <is>
          <t>-</t>
        </is>
      </c>
      <c r="C292" s="49" t="inlineStr">
        <is>
          <t>Psyllium 95% čistota přírodní vláknina kg</t>
        </is>
      </c>
      <c r="D292" s="49" t="n"/>
      <c r="E292" s="49" t="n"/>
      <c r="F292" s="49" t="n"/>
      <c r="G292" s="49" t="n">
        <v>569.64</v>
      </c>
      <c r="H292" s="49" t="n"/>
      <c r="I292" s="49" t="n">
        <v>12</v>
      </c>
      <c r="J292" s="49" t="n"/>
      <c r="K292" s="49" t="n"/>
    </row>
    <row r="293" ht="12.8" customHeight="1" s="26">
      <c r="A293" t="inlineStr">
        <is>
          <t>s1851</t>
        </is>
      </c>
      <c r="B293" t="n">
        <v>0</v>
      </c>
      <c r="C293" t="inlineStr">
        <is>
          <t>Psyllium 98% čistota přírodní vláknina kg</t>
        </is>
      </c>
      <c r="G293" t="n">
        <v>584.8200000000001</v>
      </c>
      <c r="H293">
        <f>G293 * B293</f>
        <v/>
      </c>
      <c r="I293" t="n">
        <v>12</v>
      </c>
      <c r="J293">
        <f>655 * B293</f>
        <v/>
      </c>
    </row>
    <row r="294" ht="12.8" customHeight="1" s="26">
      <c r="A294" t="inlineStr">
        <is>
          <t>s186</t>
        </is>
      </c>
      <c r="B294" t="n">
        <v>0</v>
      </c>
      <c r="C294" t="inlineStr">
        <is>
          <t>Pupava bezlodyžná kořen řez. kg</t>
        </is>
      </c>
      <c r="G294" t="n">
        <v>840.1799999999999</v>
      </c>
      <c r="H294">
        <f>G294 * B294</f>
        <v/>
      </c>
      <c r="I294" t="n">
        <v>12</v>
      </c>
      <c r="J294">
        <f>941 * B294</f>
        <v/>
      </c>
    </row>
    <row r="295" ht="12.8" customHeight="1" s="26">
      <c r="A295" t="inlineStr">
        <is>
          <t>s187</t>
        </is>
      </c>
      <c r="B295" t="n">
        <v>0</v>
      </c>
      <c r="C295" t="inlineStr">
        <is>
          <t>Puškvorec obecný oddenek řez. kg</t>
        </is>
      </c>
      <c r="G295" t="n">
        <v>428.57</v>
      </c>
      <c r="H295">
        <f>G295 * B295</f>
        <v/>
      </c>
      <c r="I295" t="n">
        <v>12</v>
      </c>
      <c r="J295">
        <f>480 * B295</f>
        <v/>
      </c>
    </row>
    <row r="296" ht="12.8" customHeight="1" s="26">
      <c r="A296" t="inlineStr">
        <is>
          <t>s188</t>
        </is>
      </c>
      <c r="B296" t="n">
        <v>0</v>
      </c>
      <c r="C296" t="inlineStr">
        <is>
          <t>Pýr plazivý oddenek řez. kg</t>
        </is>
      </c>
      <c r="G296" t="n">
        <v>233.93</v>
      </c>
      <c r="H296">
        <f>G296 * B296</f>
        <v/>
      </c>
      <c r="I296" t="n">
        <v>12</v>
      </c>
      <c r="J296">
        <f>262 * B296</f>
        <v/>
      </c>
    </row>
    <row r="297" ht="12.8" customHeight="1" s="26">
      <c r="A297" t="inlineStr">
        <is>
          <t>s188</t>
        </is>
      </c>
      <c r="B297" t="n">
        <v>0</v>
      </c>
      <c r="C297" t="inlineStr">
        <is>
          <t>Pýr plazivý oddenek řez. kg</t>
        </is>
      </c>
      <c r="G297" t="n">
        <v>233.93</v>
      </c>
      <c r="H297">
        <f>G297 * B297</f>
        <v/>
      </c>
      <c r="I297" t="n">
        <v>12</v>
      </c>
      <c r="J297">
        <f>262 * B297</f>
        <v/>
      </c>
    </row>
    <row r="298" ht="12.8" customHeight="1" s="26">
      <c r="A298" t="inlineStr">
        <is>
          <t>s189</t>
        </is>
      </c>
      <c r="B298" t="n">
        <v>0</v>
      </c>
      <c r="C298" t="inlineStr">
        <is>
          <t>Rakytník řešetlákový plod celý kg</t>
        </is>
      </c>
      <c r="G298" t="n">
        <v>900</v>
      </c>
      <c r="H298">
        <f>G298 * B298</f>
        <v/>
      </c>
      <c r="I298" t="n">
        <v>12</v>
      </c>
      <c r="J298">
        <f>1008 * B298</f>
        <v/>
      </c>
    </row>
    <row r="299" ht="12.8" customHeight="1" s="26">
      <c r="A299" t="inlineStr">
        <is>
          <t>s190</t>
        </is>
      </c>
      <c r="B299" t="n">
        <v>0</v>
      </c>
      <c r="C299" t="inlineStr">
        <is>
          <t>Ratan (Kramerie trojmužná) kořen řez. kg</t>
        </is>
      </c>
      <c r="G299" t="n">
        <v>1071.43</v>
      </c>
      <c r="H299">
        <f>G299 * B299</f>
        <v/>
      </c>
      <c r="I299" t="n">
        <v>12</v>
      </c>
      <c r="J299">
        <f>1200 * B299</f>
        <v/>
      </c>
    </row>
    <row r="300" ht="12.8" customHeight="1" s="26">
      <c r="A300" t="inlineStr">
        <is>
          <t>s191</t>
        </is>
      </c>
      <c r="B300" t="n">
        <v>0</v>
      </c>
      <c r="C300" t="inlineStr">
        <is>
          <t>Rdesno Hadí kořen řez. kg</t>
        </is>
      </c>
      <c r="G300" t="n">
        <v>780.36</v>
      </c>
      <c r="H300">
        <f>G300 * B300</f>
        <v/>
      </c>
      <c r="I300" t="n">
        <v>12</v>
      </c>
      <c r="J300">
        <f>874 * B300</f>
        <v/>
      </c>
    </row>
    <row r="301" ht="12.8" customHeight="1" s="26">
      <c r="A301" t="inlineStr">
        <is>
          <t>s192</t>
        </is>
      </c>
      <c r="B301" t="n">
        <v>0</v>
      </c>
      <c r="C301" t="inlineStr">
        <is>
          <t>Rdesno truskavec nať řez. kg</t>
        </is>
      </c>
      <c r="G301" t="n">
        <v>240.18</v>
      </c>
      <c r="H301">
        <f>G301 * B301</f>
        <v/>
      </c>
      <c r="I301" t="n">
        <v>12</v>
      </c>
      <c r="J301">
        <f>269 * B301</f>
        <v/>
      </c>
    </row>
    <row r="302" ht="12.8" customHeight="1" s="26">
      <c r="A302" t="inlineStr">
        <is>
          <t>s192</t>
        </is>
      </c>
      <c r="B302" t="n">
        <v>0</v>
      </c>
      <c r="C302" t="inlineStr">
        <is>
          <t>Rdesno truskavec nať řez. kg</t>
        </is>
      </c>
      <c r="G302" t="n">
        <v>240.18</v>
      </c>
      <c r="H302">
        <f>G302 * B302</f>
        <v/>
      </c>
      <c r="I302" t="n">
        <v>12</v>
      </c>
      <c r="J302">
        <f>269 * B302</f>
        <v/>
      </c>
    </row>
    <row r="303" ht="12.8" customHeight="1" s="26">
      <c r="A303" t="inlineStr">
        <is>
          <t>s193</t>
        </is>
      </c>
      <c r="B303" t="n">
        <v>0</v>
      </c>
      <c r="C303" t="inlineStr">
        <is>
          <t>Rdesno vrbice (blešník) nať řez. kg</t>
        </is>
      </c>
      <c r="G303" t="n">
        <v>255.36</v>
      </c>
      <c r="H303">
        <f>G303 * B303</f>
        <v/>
      </c>
      <c r="I303" t="n">
        <v>12</v>
      </c>
      <c r="J303">
        <f>286 * B303</f>
        <v/>
      </c>
    </row>
    <row r="304" ht="12.8" customHeight="1" s="26">
      <c r="A304" t="inlineStr">
        <is>
          <t>s194</t>
        </is>
      </c>
      <c r="B304" t="n">
        <v>0</v>
      </c>
      <c r="C304" t="inlineStr">
        <is>
          <t>Reveň dlanitá kořen řez. kg</t>
        </is>
      </c>
      <c r="G304" t="n">
        <v>405.36</v>
      </c>
      <c r="H304">
        <f>G304 * B304</f>
        <v/>
      </c>
      <c r="I304" t="n">
        <v>12</v>
      </c>
      <c r="J304">
        <f>454 * B304</f>
        <v/>
      </c>
    </row>
    <row r="305" ht="12.8" customHeight="1" s="26">
      <c r="A305" s="49" t="inlineStr">
        <is>
          <t>s196</t>
        </is>
      </c>
      <c r="B305" s="49" t="inlineStr">
        <is>
          <t>-</t>
        </is>
      </c>
      <c r="C305" s="49" t="inlineStr">
        <is>
          <t>Rooibos fermentovaný řez. kg</t>
        </is>
      </c>
      <c r="D305" s="49" t="n"/>
      <c r="E305" s="49" t="n"/>
      <c r="F305" s="49" t="n"/>
      <c r="G305" s="49" t="n">
        <v>564.29</v>
      </c>
      <c r="H305" s="49" t="n"/>
      <c r="I305" s="49" t="n">
        <v>12</v>
      </c>
      <c r="J305" s="49" t="n"/>
      <c r="K305" s="49" t="n"/>
    </row>
    <row r="306" ht="12.8" customHeight="1" s="26">
      <c r="A306" s="49" t="inlineStr">
        <is>
          <t>s197</t>
        </is>
      </c>
      <c r="B306" s="49" t="inlineStr">
        <is>
          <t>-</t>
        </is>
      </c>
      <c r="C306" s="49" t="inlineStr">
        <is>
          <t>Rooibos green (Zelený) řez. kg</t>
        </is>
      </c>
      <c r="D306" s="49" t="n"/>
      <c r="E306" s="49" t="n"/>
      <c r="F306" s="49" t="n"/>
      <c r="G306" s="49" t="n">
        <v>525</v>
      </c>
      <c r="H306" s="49" t="n"/>
      <c r="I306" s="49" t="n">
        <v>12</v>
      </c>
      <c r="J306" s="49" t="n"/>
      <c r="K306" s="49" t="n"/>
    </row>
    <row r="307" ht="12.8" customHeight="1" s="26">
      <c r="A307" t="inlineStr">
        <is>
          <t>s198</t>
        </is>
      </c>
      <c r="B307" t="n">
        <v>0</v>
      </c>
      <c r="C307" t="inlineStr">
        <is>
          <t>Routa vonná nať řez. kg</t>
        </is>
      </c>
      <c r="G307" t="n">
        <v>423.21</v>
      </c>
      <c r="H307">
        <f>G307 * B307</f>
        <v/>
      </c>
      <c r="I307" t="n">
        <v>12</v>
      </c>
      <c r="J307">
        <f>474 * B307</f>
        <v/>
      </c>
    </row>
    <row r="308" ht="12.8" customHeight="1" s="26">
      <c r="A308" t="inlineStr">
        <is>
          <t>s198</t>
        </is>
      </c>
      <c r="B308" t="n">
        <v>0</v>
      </c>
      <c r="C308" t="inlineStr">
        <is>
          <t>Routa vonná nať řez. kg</t>
        </is>
      </c>
      <c r="G308" t="n">
        <v>423.21</v>
      </c>
      <c r="H308">
        <f>G308 * B308</f>
        <v/>
      </c>
      <c r="I308" t="n">
        <v>12</v>
      </c>
      <c r="J308">
        <f>474 * B308</f>
        <v/>
      </c>
    </row>
    <row r="309" ht="12.8" customHeight="1" s="26">
      <c r="A309" t="inlineStr">
        <is>
          <t>s199</t>
        </is>
      </c>
      <c r="B309" t="n">
        <v>0</v>
      </c>
      <c r="C309" t="inlineStr">
        <is>
          <t>Rozchodnice růžová kořen (rhodiola) řez. kg</t>
        </is>
      </c>
      <c r="G309" t="n">
        <v>2250</v>
      </c>
      <c r="H309">
        <f>G309 * B309</f>
        <v/>
      </c>
      <c r="I309" t="n">
        <v>12</v>
      </c>
      <c r="J309">
        <f>2520 * B309</f>
        <v/>
      </c>
    </row>
    <row r="310" ht="12.8" customHeight="1" s="26">
      <c r="A310" t="inlineStr">
        <is>
          <t>s200</t>
        </is>
      </c>
      <c r="B310" t="n">
        <v>0</v>
      </c>
      <c r="C310" t="inlineStr">
        <is>
          <t>Rozmarýn lékařský list řez. kg</t>
        </is>
      </c>
      <c r="G310" t="n">
        <v>302.68</v>
      </c>
      <c r="H310">
        <f>G310 * B310</f>
        <v/>
      </c>
      <c r="I310" t="n">
        <v>12</v>
      </c>
      <c r="J310">
        <f>339 * B310</f>
        <v/>
      </c>
    </row>
    <row r="311" ht="12.8" customHeight="1" s="26">
      <c r="A311" s="49" t="inlineStr">
        <is>
          <t>s201</t>
        </is>
      </c>
      <c r="B311" s="49" t="inlineStr">
        <is>
          <t>-</t>
        </is>
      </c>
      <c r="C311" s="49" t="inlineStr">
        <is>
          <t>Rozrazil lékařský nať řez. kg</t>
        </is>
      </c>
      <c r="D311" s="49" t="n"/>
      <c r="E311" s="49" t="n"/>
      <c r="F311" s="49" t="n"/>
      <c r="G311" s="49" t="n">
        <v>483.04</v>
      </c>
      <c r="H311" s="49" t="n"/>
      <c r="I311" s="49" t="n">
        <v>12</v>
      </c>
      <c r="J311" s="49" t="n"/>
      <c r="K311" s="49" t="n"/>
    </row>
    <row r="312" ht="12.8" customHeight="1" s="26">
      <c r="A312" s="49" t="inlineStr">
        <is>
          <t>s202</t>
        </is>
      </c>
      <c r="B312" s="49" t="inlineStr">
        <is>
          <t>-</t>
        </is>
      </c>
      <c r="C312" s="49" t="inlineStr">
        <is>
          <t>Růže červená květ celá kg</t>
        </is>
      </c>
      <c r="D312" s="49" t="n"/>
      <c r="E312" s="49" t="n"/>
      <c r="F312" s="49" t="n"/>
      <c r="G312" s="49" t="n">
        <v>419.64</v>
      </c>
      <c r="H312" s="49" t="n"/>
      <c r="I312" s="49" t="n">
        <v>12</v>
      </c>
      <c r="J312" s="49" t="n"/>
      <c r="K312" s="49" t="n"/>
    </row>
    <row r="313" ht="12.8" customHeight="1" s="26">
      <c r="A313" t="inlineStr">
        <is>
          <t>s203</t>
        </is>
      </c>
      <c r="B313" t="n">
        <v>0</v>
      </c>
      <c r="C313" t="inlineStr">
        <is>
          <t>Rybíz černý list řez. kg</t>
        </is>
      </c>
      <c r="G313" t="n">
        <v>396.43</v>
      </c>
      <c r="H313">
        <f>G313 * B313</f>
        <v/>
      </c>
      <c r="I313" t="n">
        <v>12</v>
      </c>
      <c r="J313">
        <f>444 * B313</f>
        <v/>
      </c>
    </row>
    <row r="314" ht="12.8" customHeight="1" s="26">
      <c r="A314" t="inlineStr">
        <is>
          <t>s203</t>
        </is>
      </c>
      <c r="B314" t="n">
        <v>0</v>
      </c>
      <c r="C314" t="inlineStr">
        <is>
          <t>Rybíz černý list řez. kg</t>
        </is>
      </c>
      <c r="G314" t="n">
        <v>396.43</v>
      </c>
      <c r="H314">
        <f>G314 * B314</f>
        <v/>
      </c>
      <c r="I314" t="n">
        <v>12</v>
      </c>
      <c r="J314">
        <f>444 * B314</f>
        <v/>
      </c>
    </row>
    <row r="315" ht="12.8" customHeight="1" s="26">
      <c r="A315" t="inlineStr">
        <is>
          <t>s204</t>
        </is>
      </c>
      <c r="B315" t="n">
        <v>0</v>
      </c>
      <c r="C315" t="inlineStr">
        <is>
          <t>Rybíz černý plod celý kg</t>
        </is>
      </c>
      <c r="G315" t="n">
        <v>525</v>
      </c>
      <c r="H315">
        <f>G315 * B315</f>
        <v/>
      </c>
      <c r="I315" t="n">
        <v>12</v>
      </c>
      <c r="J315">
        <f>588 * B315</f>
        <v/>
      </c>
    </row>
    <row r="316" ht="12.8" customHeight="1" s="26">
      <c r="A316" t="inlineStr">
        <is>
          <t>s205</t>
        </is>
      </c>
      <c r="B316" t="n">
        <v>0</v>
      </c>
      <c r="C316" t="inlineStr">
        <is>
          <t>Řebříček obecný květ řez. kg</t>
        </is>
      </c>
      <c r="G316" t="n">
        <v>236.61</v>
      </c>
      <c r="H316">
        <f>G316 * B316</f>
        <v/>
      </c>
      <c r="I316" t="n">
        <v>12</v>
      </c>
      <c r="J316">
        <f>265 * B316</f>
        <v/>
      </c>
    </row>
    <row r="317" ht="12.8" customHeight="1" s="26">
      <c r="A317" s="49" t="inlineStr">
        <is>
          <t>s206</t>
        </is>
      </c>
      <c r="B317" s="49" t="inlineStr">
        <is>
          <t>-</t>
        </is>
      </c>
      <c r="C317" s="49" t="inlineStr">
        <is>
          <t>Řebříček obecný nať řez. kg</t>
        </is>
      </c>
      <c r="D317" s="49" t="n"/>
      <c r="E317" s="49" t="n"/>
      <c r="F317" s="49" t="n"/>
      <c r="G317" s="49" t="n">
        <v>242.86</v>
      </c>
      <c r="H317" s="49" t="n"/>
      <c r="I317" s="49" t="n">
        <v>12</v>
      </c>
      <c r="J317" s="49" t="n"/>
      <c r="K317" s="49" t="n"/>
    </row>
    <row r="318" ht="12.8" customHeight="1" s="26">
      <c r="A318" t="inlineStr">
        <is>
          <t>s207</t>
        </is>
      </c>
      <c r="B318" t="n">
        <v>0</v>
      </c>
      <c r="C318" t="inlineStr">
        <is>
          <t>Řepík lékařský nať řez. kg</t>
        </is>
      </c>
      <c r="G318" t="n">
        <v>236.61</v>
      </c>
      <c r="H318">
        <f>G318 * B318</f>
        <v/>
      </c>
      <c r="I318" t="n">
        <v>12</v>
      </c>
      <c r="J318">
        <f>265 * B318</f>
        <v/>
      </c>
    </row>
    <row r="319" ht="12.8" customHeight="1" s="26">
      <c r="A319" s="49" t="inlineStr">
        <is>
          <t>s208</t>
        </is>
      </c>
      <c r="B319" s="49" t="inlineStr">
        <is>
          <t>-</t>
        </is>
      </c>
      <c r="C319" s="49" t="inlineStr">
        <is>
          <t>Santalové (Santal bílý) dřevo řez. kg</t>
        </is>
      </c>
      <c r="D319" s="49" t="n"/>
      <c r="E319" s="49" t="n"/>
      <c r="F319" s="49" t="n"/>
      <c r="G319" s="49" t="n">
        <v>480.36</v>
      </c>
      <c r="H319" s="49" t="n"/>
      <c r="I319" s="49" t="n">
        <v>12</v>
      </c>
      <c r="J319" s="49" t="n"/>
      <c r="K319" s="49" t="n"/>
    </row>
    <row r="320" ht="12.8" customHeight="1" s="26">
      <c r="A320" t="inlineStr">
        <is>
          <t>s209</t>
        </is>
      </c>
      <c r="B320" t="n">
        <v>0</v>
      </c>
      <c r="C320" t="inlineStr">
        <is>
          <t>Sarsaparilla (Přestup léčivý) kořen řez. kg</t>
        </is>
      </c>
      <c r="G320" t="n">
        <v>809.8200000000001</v>
      </c>
      <c r="H320">
        <f>G320 * B320</f>
        <v/>
      </c>
      <c r="I320" t="n">
        <v>12</v>
      </c>
      <c r="J320">
        <f>907 * B320</f>
        <v/>
      </c>
    </row>
    <row r="321" ht="12.8" customHeight="1" s="26">
      <c r="A321" s="49" t="inlineStr">
        <is>
          <t>s210</t>
        </is>
      </c>
      <c r="B321" s="49" t="inlineStr">
        <is>
          <t>-</t>
        </is>
      </c>
      <c r="C321" s="49" t="inlineStr">
        <is>
          <t>Saturejka zahradní nať řez. kg</t>
        </is>
      </c>
      <c r="D321" s="49" t="n"/>
      <c r="E321" s="49" t="n"/>
      <c r="F321" s="49" t="n"/>
      <c r="G321" s="49" t="n">
        <v>297.32</v>
      </c>
      <c r="H321" s="49" t="n"/>
      <c r="I321" s="49" t="n">
        <v>12</v>
      </c>
      <c r="J321" s="49" t="n"/>
      <c r="K321" s="49" t="n"/>
    </row>
    <row r="322" ht="12.8" customHeight="1" s="26">
      <c r="A322" s="49" t="inlineStr">
        <is>
          <t>s210</t>
        </is>
      </c>
      <c r="B322" s="49" t="inlineStr">
        <is>
          <t>-</t>
        </is>
      </c>
      <c r="C322" s="49" t="inlineStr">
        <is>
          <t>Saturejka zahradní nať řez. kg</t>
        </is>
      </c>
      <c r="D322" s="49" t="n"/>
      <c r="E322" s="49" t="n"/>
      <c r="F322" s="49" t="n"/>
      <c r="G322" s="49" t="n">
        <v>297.32</v>
      </c>
      <c r="H322" s="49" t="n"/>
      <c r="I322" s="49" t="n">
        <v>12</v>
      </c>
      <c r="J322" s="49" t="n"/>
      <c r="K322" s="49" t="n"/>
    </row>
    <row r="323" ht="12.8" customHeight="1" s="26">
      <c r="A323" t="inlineStr">
        <is>
          <t>s211</t>
        </is>
      </c>
      <c r="B323" t="n">
        <v>0</v>
      </c>
      <c r="C323" t="inlineStr">
        <is>
          <t>Sedmikráska chudobka květ celý kg</t>
        </is>
      </c>
      <c r="G323" t="n">
        <v>2519.64</v>
      </c>
      <c r="H323">
        <f>G323 * B323</f>
        <v/>
      </c>
      <c r="I323" t="n">
        <v>12</v>
      </c>
      <c r="J323">
        <f>2822 * B323</f>
        <v/>
      </c>
    </row>
    <row r="324" ht="12.8" customHeight="1" s="26">
      <c r="A324" t="inlineStr">
        <is>
          <t>s212</t>
        </is>
      </c>
      <c r="B324" t="n">
        <v>0</v>
      </c>
      <c r="C324" t="inlineStr">
        <is>
          <t>Senna (Kassie pravá) list řez. kg</t>
        </is>
      </c>
      <c r="G324" t="n">
        <v>200.89</v>
      </c>
      <c r="H324">
        <f>G324 * B324</f>
        <v/>
      </c>
      <c r="I324" t="n">
        <v>12</v>
      </c>
      <c r="J324">
        <f>225 * B324</f>
        <v/>
      </c>
    </row>
    <row r="325" ht="12.8" customHeight="1" s="26">
      <c r="A325" s="49" t="inlineStr">
        <is>
          <t>s213</t>
        </is>
      </c>
      <c r="B325" s="49" t="inlineStr">
        <is>
          <t>-</t>
        </is>
      </c>
      <c r="C325" s="49" t="inlineStr">
        <is>
          <t>Senna (Kassie pravá) lusk řez. kg</t>
        </is>
      </c>
      <c r="D325" s="49" t="n"/>
      <c r="E325" s="49" t="n"/>
      <c r="F325" s="49" t="n"/>
      <c r="G325" s="49" t="n">
        <v>150</v>
      </c>
      <c r="H325" s="49" t="n"/>
      <c r="I325" s="49" t="n">
        <v>12</v>
      </c>
      <c r="J325" s="49" t="n"/>
      <c r="K325" s="49" t="n"/>
    </row>
    <row r="326" ht="12.8" customHeight="1" s="26">
      <c r="A326" t="inlineStr">
        <is>
          <t>s214</t>
        </is>
      </c>
      <c r="B326" t="n">
        <v>0</v>
      </c>
      <c r="C326" t="inlineStr">
        <is>
          <t>Schizandra (Klanopraška) plod celý kg</t>
        </is>
      </c>
      <c r="G326" t="n">
        <v>1500</v>
      </c>
      <c r="H326">
        <f>G326 * B326</f>
        <v/>
      </c>
      <c r="I326" t="n">
        <v>12</v>
      </c>
      <c r="J326">
        <f>1680 * B326</f>
        <v/>
      </c>
    </row>
    <row r="327" ht="12.8" customHeight="1" s="26">
      <c r="A327" t="inlineStr">
        <is>
          <t>s216</t>
        </is>
      </c>
      <c r="B327" t="n">
        <v>0</v>
      </c>
      <c r="C327" t="inlineStr">
        <is>
          <t>Skořice kůra (Indonezie) celá kg</t>
        </is>
      </c>
      <c r="G327" t="n">
        <v>269.64</v>
      </c>
      <c r="H327">
        <f>G327 * B327</f>
        <v/>
      </c>
      <c r="I327" t="n">
        <v>12</v>
      </c>
      <c r="J327">
        <f>302 * B327</f>
        <v/>
      </c>
    </row>
    <row r="328" ht="12.8" customHeight="1" s="26">
      <c r="A328" s="49" t="inlineStr">
        <is>
          <t>s218</t>
        </is>
      </c>
      <c r="B328" s="49" t="inlineStr">
        <is>
          <t>-</t>
        </is>
      </c>
      <c r="C328" s="49" t="inlineStr">
        <is>
          <t>Sléz maurský květ cely. kg</t>
        </is>
      </c>
      <c r="D328" s="49" t="n"/>
      <c r="E328" s="49" t="n"/>
      <c r="F328" s="49" t="n"/>
      <c r="G328" s="49" t="n">
        <v>2069.64</v>
      </c>
      <c r="H328" s="49" t="n"/>
      <c r="I328" s="49" t="n">
        <v>12</v>
      </c>
      <c r="J328" s="49" t="n"/>
      <c r="K328" s="49" t="n"/>
    </row>
    <row r="329" ht="12.8" customHeight="1" s="26">
      <c r="A329" t="inlineStr">
        <is>
          <t>s219</t>
        </is>
      </c>
      <c r="B329" t="n">
        <v>0</v>
      </c>
      <c r="C329" t="inlineStr">
        <is>
          <t>Sléz maurský list řez. kg</t>
        </is>
      </c>
      <c r="G329" t="n">
        <v>273.21</v>
      </c>
      <c r="H329">
        <f>G329 * B329</f>
        <v/>
      </c>
      <c r="I329" t="n">
        <v>12</v>
      </c>
      <c r="J329">
        <f>306 * B329</f>
        <v/>
      </c>
    </row>
    <row r="330" ht="12.8" customHeight="1" s="26">
      <c r="A330" t="inlineStr">
        <is>
          <t>s219</t>
        </is>
      </c>
      <c r="B330" t="n">
        <v>0</v>
      </c>
      <c r="C330" t="inlineStr">
        <is>
          <t>Sléz maurský list řez. kg</t>
        </is>
      </c>
      <c r="G330" t="n">
        <v>273.21</v>
      </c>
      <c r="H330">
        <f>G330 * B330</f>
        <v/>
      </c>
      <c r="I330" t="n">
        <v>12</v>
      </c>
      <c r="J330">
        <f>306 * B330</f>
        <v/>
      </c>
    </row>
    <row r="331" ht="12.8" customHeight="1" s="26">
      <c r="A331" s="49" t="inlineStr">
        <is>
          <t>s220</t>
        </is>
      </c>
      <c r="B331" s="49" t="inlineStr">
        <is>
          <t>-</t>
        </is>
      </c>
      <c r="C331" s="49" t="inlineStr">
        <is>
          <t>Sluncovka kalifornská nať řez. kg</t>
        </is>
      </c>
      <c r="D331" s="49" t="n"/>
      <c r="E331" s="49" t="n"/>
      <c r="F331" s="49" t="n"/>
      <c r="G331" s="49" t="n">
        <v>240.18</v>
      </c>
      <c r="H331" s="49" t="n"/>
      <c r="I331" s="49" t="n">
        <v>12</v>
      </c>
      <c r="J331" s="49" t="n"/>
      <c r="K331" s="49" t="n"/>
    </row>
    <row r="332" ht="12.8" customHeight="1" s="26">
      <c r="A332" t="inlineStr">
        <is>
          <t>s221</t>
        </is>
      </c>
      <c r="B332" t="n">
        <v>0</v>
      </c>
      <c r="C332" t="inlineStr">
        <is>
          <t>Slunečnice roční květ řez. kg</t>
        </is>
      </c>
      <c r="G332" t="n">
        <v>785.71</v>
      </c>
      <c r="H332">
        <f>G332 * B332</f>
        <v/>
      </c>
      <c r="I332" t="n">
        <v>12</v>
      </c>
      <c r="J332">
        <f>880 * B332</f>
        <v/>
      </c>
    </row>
    <row r="333" ht="12.8" customHeight="1" s="26">
      <c r="A333" t="inlineStr">
        <is>
          <t>s222</t>
        </is>
      </c>
      <c r="B333" t="n">
        <v>0</v>
      </c>
      <c r="C333" t="inlineStr">
        <is>
          <t>Smil písečný květ celý kg</t>
        </is>
      </c>
      <c r="G333" t="n">
        <v>569.64</v>
      </c>
      <c r="H333">
        <f>G333 * B333</f>
        <v/>
      </c>
      <c r="I333" t="n">
        <v>12</v>
      </c>
      <c r="J333">
        <f>638 * B333</f>
        <v/>
      </c>
    </row>
    <row r="334" ht="12.8" customHeight="1" s="26">
      <c r="A334" t="inlineStr">
        <is>
          <t>s223</t>
        </is>
      </c>
      <c r="B334" t="n">
        <v>0</v>
      </c>
      <c r="C334" t="inlineStr">
        <is>
          <t>Sporýš lékařský nať řez. kg</t>
        </is>
      </c>
      <c r="G334" t="n">
        <v>255.36</v>
      </c>
      <c r="H334">
        <f>G334 * B334</f>
        <v/>
      </c>
      <c r="I334" t="n">
        <v>12</v>
      </c>
      <c r="J334">
        <f>286 * B334</f>
        <v/>
      </c>
    </row>
    <row r="335" ht="12.8" customHeight="1" s="26">
      <c r="A335" t="inlineStr">
        <is>
          <t>s224</t>
        </is>
      </c>
      <c r="B335" t="n">
        <v>0</v>
      </c>
      <c r="C335" t="inlineStr">
        <is>
          <t>Srdečník obecný (Buřina) nať řez. kg</t>
        </is>
      </c>
      <c r="G335" t="n">
        <v>207.14</v>
      </c>
      <c r="H335">
        <f>G335 * B335</f>
        <v/>
      </c>
      <c r="I335" t="n">
        <v>12</v>
      </c>
      <c r="J335">
        <f>232 * B335</f>
        <v/>
      </c>
    </row>
    <row r="336" ht="12.8" customHeight="1" s="26">
      <c r="A336" t="inlineStr">
        <is>
          <t>s224</t>
        </is>
      </c>
      <c r="B336" t="n">
        <v>0</v>
      </c>
      <c r="C336" t="inlineStr">
        <is>
          <t>Srdečník obecný (Buřina) nať řez. kg</t>
        </is>
      </c>
      <c r="G336" t="n">
        <v>207.14</v>
      </c>
      <c r="H336">
        <f>G336 * B336</f>
        <v/>
      </c>
      <c r="I336" t="n">
        <v>12</v>
      </c>
      <c r="J336">
        <f>232 * B336</f>
        <v/>
      </c>
    </row>
    <row r="337" ht="12.8" customHeight="1" s="26">
      <c r="A337" t="inlineStr">
        <is>
          <t>s225</t>
        </is>
      </c>
      <c r="B337" t="n">
        <v>0</v>
      </c>
      <c r="C337" t="inlineStr">
        <is>
          <t>Stévie cukrová-sladká tráva list řez. kg</t>
        </is>
      </c>
      <c r="G337" t="n">
        <v>831.25</v>
      </c>
      <c r="H337">
        <f>G337 * B337</f>
        <v/>
      </c>
      <c r="I337" t="n">
        <v>12</v>
      </c>
      <c r="J337">
        <f>931 * B337</f>
        <v/>
      </c>
    </row>
    <row r="338" ht="12.8" customHeight="1" s="26">
      <c r="A338" t="inlineStr">
        <is>
          <t>s226</t>
        </is>
      </c>
      <c r="B338" t="n">
        <v>0</v>
      </c>
      <c r="C338" t="inlineStr">
        <is>
          <t>Světlík lékařský nať řez. kg</t>
        </is>
      </c>
      <c r="G338" t="n">
        <v>593.75</v>
      </c>
      <c r="H338">
        <f>G338 * B338</f>
        <v/>
      </c>
      <c r="I338" t="n">
        <v>12</v>
      </c>
      <c r="J338">
        <f>665 * B338</f>
        <v/>
      </c>
    </row>
    <row r="339" ht="12.8" customHeight="1" s="26">
      <c r="A339" t="inlineStr">
        <is>
          <t>s226</t>
        </is>
      </c>
      <c r="B339" t="n">
        <v>0</v>
      </c>
      <c r="C339" t="inlineStr">
        <is>
          <t>Světlík lékařský nať řez. kg</t>
        </is>
      </c>
      <c r="G339" t="n">
        <v>593.75</v>
      </c>
      <c r="H339">
        <f>G339 * B339</f>
        <v/>
      </c>
      <c r="I339" t="n">
        <v>12</v>
      </c>
      <c r="J339">
        <f>665 * B339</f>
        <v/>
      </c>
    </row>
    <row r="340" ht="12.8" customHeight="1" s="26">
      <c r="A340" t="inlineStr">
        <is>
          <t>s227</t>
        </is>
      </c>
      <c r="B340" t="n">
        <v>0</v>
      </c>
      <c r="C340" t="inlineStr">
        <is>
          <t>Svízel syřišťový nať řez. kg</t>
        </is>
      </c>
      <c r="G340" t="n">
        <v>246.43</v>
      </c>
      <c r="H340">
        <f>G340 * B340</f>
        <v/>
      </c>
      <c r="I340" t="n">
        <v>12</v>
      </c>
      <c r="J340">
        <f>276 * B340</f>
        <v/>
      </c>
    </row>
    <row r="341" ht="12.8" customHeight="1" s="26">
      <c r="A341" s="49" t="inlineStr">
        <is>
          <t>s2271</t>
        </is>
      </c>
      <c r="B341" s="49" t="inlineStr">
        <is>
          <t>-</t>
        </is>
      </c>
      <c r="C341" s="49" t="inlineStr">
        <is>
          <t>Šafrán setý blizny celý kg</t>
        </is>
      </c>
      <c r="D341" s="49" t="n"/>
      <c r="E341" s="49" t="n"/>
      <c r="F341" s="49" t="n"/>
      <c r="G341" s="49" t="n">
        <v>209.82</v>
      </c>
      <c r="H341" s="49" t="n"/>
      <c r="I341" s="49" t="n">
        <v>12</v>
      </c>
      <c r="J341" s="49" t="n"/>
      <c r="K341" s="49" t="n"/>
    </row>
    <row r="342" ht="12.8" customHeight="1" s="26">
      <c r="A342" t="inlineStr">
        <is>
          <t>s228</t>
        </is>
      </c>
      <c r="B342" t="n">
        <v>0</v>
      </c>
      <c r="C342" t="inlineStr">
        <is>
          <t>Šalvěj lékařská nať řez. kg</t>
        </is>
      </c>
      <c r="G342" t="n">
        <v>233.93</v>
      </c>
      <c r="H342">
        <f>G342 * B342</f>
        <v/>
      </c>
      <c r="I342" t="n">
        <v>12</v>
      </c>
      <c r="J342">
        <f>262 * B342</f>
        <v/>
      </c>
    </row>
    <row r="343" ht="12.8" customHeight="1" s="26">
      <c r="A343" t="inlineStr">
        <is>
          <t>s228</t>
        </is>
      </c>
      <c r="B343" t="n">
        <v>0</v>
      </c>
      <c r="C343" t="inlineStr">
        <is>
          <t>Šalvěj lékařská nať řez. kg</t>
        </is>
      </c>
      <c r="G343" t="n">
        <v>233.93</v>
      </c>
      <c r="H343">
        <f>G343 * B343</f>
        <v/>
      </c>
      <c r="I343" t="n">
        <v>12</v>
      </c>
      <c r="J343">
        <f>262 * B343</f>
        <v/>
      </c>
    </row>
    <row r="344" ht="12.8" customHeight="1" s="26">
      <c r="A344" s="49" t="inlineStr">
        <is>
          <t>s229</t>
        </is>
      </c>
      <c r="B344" s="49" t="inlineStr">
        <is>
          <t>-</t>
        </is>
      </c>
      <c r="C344" s="49" t="inlineStr">
        <is>
          <t>Šanta kočičí nať řez. kg</t>
        </is>
      </c>
      <c r="D344" s="49" t="n"/>
      <c r="E344" s="49" t="n"/>
      <c r="F344" s="49" t="n"/>
      <c r="G344" s="49" t="n">
        <v>266.96</v>
      </c>
      <c r="H344" s="49" t="n"/>
      <c r="I344" s="49" t="n">
        <v>12</v>
      </c>
      <c r="J344" s="49" t="n"/>
      <c r="K344" s="49" t="n"/>
    </row>
    <row r="345" ht="12.8" customHeight="1" s="26">
      <c r="A345" t="inlineStr">
        <is>
          <t>s230</t>
        </is>
      </c>
      <c r="B345" t="n">
        <v>0</v>
      </c>
      <c r="C345" t="inlineStr">
        <is>
          <t>Šípek (Růže šípková) plod celý kg</t>
        </is>
      </c>
      <c r="G345" t="n">
        <v>264.29</v>
      </c>
      <c r="H345">
        <f>G345 * B345</f>
        <v/>
      </c>
      <c r="I345" t="n">
        <v>12</v>
      </c>
      <c r="J345">
        <f>296 * B345</f>
        <v/>
      </c>
    </row>
    <row r="346" ht="12.8" customHeight="1" s="26">
      <c r="A346" t="inlineStr">
        <is>
          <t>s230</t>
        </is>
      </c>
      <c r="B346" t="n">
        <v>0</v>
      </c>
      <c r="C346" t="inlineStr">
        <is>
          <t>Šípek (Růže šípková) plod celý kg</t>
        </is>
      </c>
      <c r="G346" t="n">
        <v>264.29</v>
      </c>
      <c r="H346">
        <f>G346 * B346</f>
        <v/>
      </c>
      <c r="I346" t="n">
        <v>12</v>
      </c>
      <c r="J346">
        <f>296 * B346</f>
        <v/>
      </c>
    </row>
    <row r="347" ht="12.8" customHeight="1" s="26">
      <c r="A347" s="49" t="inlineStr">
        <is>
          <t>s231</t>
        </is>
      </c>
      <c r="B347" s="49" t="inlineStr">
        <is>
          <t>-</t>
        </is>
      </c>
      <c r="C347" s="49" t="inlineStr">
        <is>
          <t>Šípek (Růže šípková) plod čistá semena celá kg</t>
        </is>
      </c>
      <c r="D347" s="49" t="n"/>
      <c r="E347" s="49" t="n"/>
      <c r="F347" s="49" t="n"/>
      <c r="G347" s="49" t="n">
        <v>96.43000000000001</v>
      </c>
      <c r="H347" s="49" t="n"/>
      <c r="I347" s="49" t="n">
        <v>12</v>
      </c>
      <c r="J347" s="49" t="n"/>
      <c r="K347" s="49" t="n"/>
    </row>
    <row r="348" ht="12.8" customHeight="1" s="26">
      <c r="A348" t="inlineStr">
        <is>
          <t>s232</t>
        </is>
      </c>
      <c r="B348" t="n">
        <v>0</v>
      </c>
      <c r="C348" t="inlineStr">
        <is>
          <t>Šípek (Růže šípková) plod drcený kg</t>
        </is>
      </c>
      <c r="G348" t="n">
        <v>375</v>
      </c>
      <c r="H348">
        <f>G348 * B348</f>
        <v/>
      </c>
      <c r="I348" t="n">
        <v>12</v>
      </c>
      <c r="J348">
        <f>420 * B348</f>
        <v/>
      </c>
    </row>
    <row r="349" ht="12.8" customHeight="1" s="26">
      <c r="A349" s="49" t="inlineStr">
        <is>
          <t>s233</t>
        </is>
      </c>
      <c r="B349" s="49" t="inlineStr">
        <is>
          <t>-</t>
        </is>
      </c>
      <c r="C349" s="49" t="inlineStr">
        <is>
          <t>Šípek (Růže šípková) plod oplodí čisté bez semen řez. kg</t>
        </is>
      </c>
      <c r="D349" s="49" t="n"/>
      <c r="E349" s="49" t="n"/>
      <c r="F349" s="49" t="n"/>
      <c r="G349" s="49" t="n">
        <v>326.79</v>
      </c>
      <c r="H349" s="49" t="n"/>
      <c r="I349" s="49" t="n">
        <v>12</v>
      </c>
      <c r="J349" s="49" t="n"/>
      <c r="K349" s="49" t="n"/>
    </row>
    <row r="350" ht="12.8" customHeight="1" s="26">
      <c r="A350" t="inlineStr">
        <is>
          <t>s234</t>
        </is>
      </c>
      <c r="B350" t="n">
        <v>0</v>
      </c>
      <c r="C350" t="inlineStr">
        <is>
          <t>Šišák bajkalský nať řez. kg</t>
        </is>
      </c>
      <c r="G350" t="n">
        <v>900</v>
      </c>
      <c r="H350">
        <f>G350 * B350</f>
        <v/>
      </c>
      <c r="I350" t="n">
        <v>12</v>
      </c>
      <c r="J350">
        <f>1008 * B350</f>
        <v/>
      </c>
    </row>
    <row r="351" ht="12.8" customHeight="1" s="26">
      <c r="A351" t="inlineStr">
        <is>
          <t>s235</t>
        </is>
      </c>
      <c r="B351" t="n">
        <v>0</v>
      </c>
      <c r="C351" t="inlineStr">
        <is>
          <t>Topolovka růžová květ celý kg</t>
        </is>
      </c>
      <c r="G351" t="n">
        <v>776.79</v>
      </c>
      <c r="H351">
        <f>G351 * B351</f>
        <v/>
      </c>
      <c r="I351" t="n">
        <v>12</v>
      </c>
      <c r="J351">
        <f>870 * B351</f>
        <v/>
      </c>
    </row>
    <row r="352" ht="12.8" customHeight="1" s="26">
      <c r="A352" t="inlineStr">
        <is>
          <t>s2351</t>
        </is>
      </c>
      <c r="B352" t="n">
        <v>0</v>
      </c>
      <c r="C352" t="inlineStr">
        <is>
          <t>Topolovka růžová květ řez. kg</t>
        </is>
      </c>
      <c r="G352" t="n">
        <v>569.64</v>
      </c>
      <c r="H352">
        <f>G352 * B352</f>
        <v/>
      </c>
      <c r="I352" t="n">
        <v>12</v>
      </c>
      <c r="J352">
        <f>638 * B352</f>
        <v/>
      </c>
    </row>
    <row r="353" ht="12.8" customHeight="1" s="26">
      <c r="A353" t="inlineStr">
        <is>
          <t>s236</t>
        </is>
      </c>
      <c r="B353" t="n">
        <v>0</v>
      </c>
      <c r="C353" t="inlineStr">
        <is>
          <t>Trnka obecná květ řez. kg</t>
        </is>
      </c>
      <c r="G353" t="n">
        <v>765.1799999999999</v>
      </c>
      <c r="H353">
        <f>G353 * B353</f>
        <v/>
      </c>
      <c r="I353" t="n">
        <v>12</v>
      </c>
      <c r="J353">
        <f>857 * B353</f>
        <v/>
      </c>
    </row>
    <row r="354" ht="12.8" customHeight="1" s="26">
      <c r="A354" t="inlineStr">
        <is>
          <t>s237</t>
        </is>
      </c>
      <c r="B354" t="n">
        <v>0</v>
      </c>
      <c r="C354" t="inlineStr">
        <is>
          <t>Trnka obecná plod celý kg</t>
        </is>
      </c>
      <c r="G354" t="n">
        <v>240.18</v>
      </c>
      <c r="H354">
        <f>G354 * B354</f>
        <v/>
      </c>
      <c r="I354" t="n">
        <v>12</v>
      </c>
      <c r="J354">
        <f>269 * B354</f>
        <v/>
      </c>
    </row>
    <row r="355" ht="12.8" customHeight="1" s="26">
      <c r="A355" t="inlineStr">
        <is>
          <t>s238</t>
        </is>
      </c>
      <c r="B355" t="n">
        <v>0</v>
      </c>
      <c r="C355" t="inlineStr">
        <is>
          <t>Třezalka tečkovaná nať řez. kg</t>
        </is>
      </c>
      <c r="G355" t="n">
        <v>273.21</v>
      </c>
      <c r="H355">
        <f>G355 * B355</f>
        <v/>
      </c>
      <c r="I355" t="n">
        <v>12</v>
      </c>
      <c r="J355">
        <f>306 * B355</f>
        <v/>
      </c>
    </row>
    <row r="356" ht="12.8" customHeight="1" s="26">
      <c r="A356" t="inlineStr">
        <is>
          <t>s2381</t>
        </is>
      </c>
      <c r="B356" t="n">
        <v>0</v>
      </c>
      <c r="C356" t="inlineStr">
        <is>
          <t>Turan kanadský nať řez. kg</t>
        </is>
      </c>
      <c r="G356" t="n">
        <v>432.14</v>
      </c>
      <c r="H356">
        <f>G356 * B356</f>
        <v/>
      </c>
      <c r="I356" t="n">
        <v>12</v>
      </c>
      <c r="J356">
        <f>484 * B356</f>
        <v/>
      </c>
    </row>
    <row r="357" ht="12.8" customHeight="1" s="26">
      <c r="A357" t="inlineStr">
        <is>
          <t>s239</t>
        </is>
      </c>
      <c r="B357" t="n">
        <v>0</v>
      </c>
      <c r="C357" t="inlineStr">
        <is>
          <t>Tužebník jilmový nať řez. kg</t>
        </is>
      </c>
      <c r="G357" t="n">
        <v>240.18</v>
      </c>
      <c r="H357">
        <f>G357 * B357</f>
        <v/>
      </c>
      <c r="I357" t="n">
        <v>12</v>
      </c>
      <c r="J357">
        <f>269 * B357</f>
        <v/>
      </c>
    </row>
    <row r="358" ht="12.8" customHeight="1" s="26">
      <c r="A358" t="inlineStr">
        <is>
          <t>s239</t>
        </is>
      </c>
      <c r="B358" t="n">
        <v>0</v>
      </c>
      <c r="C358" t="inlineStr">
        <is>
          <t>Tužebník jilmový nať řez. kg</t>
        </is>
      </c>
      <c r="G358" t="n">
        <v>240.18</v>
      </c>
      <c r="H358">
        <f>G358 * B358</f>
        <v/>
      </c>
      <c r="I358" t="n">
        <v>12</v>
      </c>
      <c r="J358">
        <f>269 * B358</f>
        <v/>
      </c>
    </row>
    <row r="359" ht="12.8" customHeight="1" s="26">
      <c r="A359" t="inlineStr">
        <is>
          <t>s240</t>
        </is>
      </c>
      <c r="B359" t="n">
        <v>0</v>
      </c>
      <c r="C359" t="inlineStr">
        <is>
          <t>Tymián obecný nať řez. kg</t>
        </is>
      </c>
      <c r="G359" t="n">
        <v>335.71</v>
      </c>
      <c r="H359">
        <f>G359 * B359</f>
        <v/>
      </c>
      <c r="I359" t="n">
        <v>12</v>
      </c>
      <c r="J359">
        <f>376 * B359</f>
        <v/>
      </c>
    </row>
    <row r="360" ht="12.8" customHeight="1" s="26">
      <c r="A360" t="inlineStr">
        <is>
          <t>s241</t>
        </is>
      </c>
      <c r="B360" t="n">
        <v>0</v>
      </c>
      <c r="C360" t="inlineStr">
        <is>
          <t>Vachta trojlistá list řez. kg</t>
        </is>
      </c>
      <c r="G360" t="n">
        <v>734.8200000000001</v>
      </c>
      <c r="H360">
        <f>G360 * B360</f>
        <v/>
      </c>
      <c r="I360" t="n">
        <v>12</v>
      </c>
      <c r="J360">
        <f>823 * B360</f>
        <v/>
      </c>
    </row>
    <row r="361" ht="12.8" customHeight="1" s="26">
      <c r="A361" t="inlineStr">
        <is>
          <t>s242</t>
        </is>
      </c>
      <c r="B361" t="n">
        <v>0</v>
      </c>
      <c r="C361" t="inlineStr">
        <is>
          <t>Vilcacora (Řemdihák plstnatý) kůra řez. kg</t>
        </is>
      </c>
      <c r="G361" t="n">
        <v>639.29</v>
      </c>
      <c r="H361">
        <f>G361 * B361</f>
        <v/>
      </c>
      <c r="I361" t="n">
        <v>12</v>
      </c>
      <c r="J361">
        <f>716 * B361</f>
        <v/>
      </c>
    </row>
    <row r="362" ht="12.8" customHeight="1" s="26">
      <c r="A362" s="49" t="inlineStr">
        <is>
          <t>s243</t>
        </is>
      </c>
      <c r="B362" s="49" t="inlineStr">
        <is>
          <t>-</t>
        </is>
      </c>
      <c r="C362" s="49" t="inlineStr">
        <is>
          <t>Vilín virginský list řez. kg</t>
        </is>
      </c>
      <c r="D362" s="49" t="n"/>
      <c r="E362" s="49" t="n"/>
      <c r="F362" s="49" t="n"/>
      <c r="G362" s="49" t="n">
        <v>750</v>
      </c>
      <c r="H362" s="49" t="n"/>
      <c r="I362" s="49" t="n">
        <v>12</v>
      </c>
      <c r="J362" s="49" t="n"/>
      <c r="K362" s="49" t="n"/>
    </row>
    <row r="363" ht="12.8" customHeight="1" s="26">
      <c r="A363" s="49" t="inlineStr">
        <is>
          <t>s2431</t>
        </is>
      </c>
      <c r="B363" s="49" t="inlineStr">
        <is>
          <t>-</t>
        </is>
      </c>
      <c r="C363" s="49" t="inlineStr">
        <is>
          <t>Vilín virginský kůra řez. kg</t>
        </is>
      </c>
      <c r="D363" s="49" t="n"/>
      <c r="E363" s="49" t="n"/>
      <c r="F363" s="49" t="n"/>
      <c r="G363" s="49" t="n">
        <v>659.8200000000001</v>
      </c>
      <c r="H363" s="49" t="n"/>
      <c r="I363" s="49" t="n">
        <v>12</v>
      </c>
      <c r="J363" s="49" t="n"/>
      <c r="K363" s="49" t="n"/>
    </row>
    <row r="364" ht="12.8" customHeight="1" s="26">
      <c r="A364" t="inlineStr">
        <is>
          <t>s244</t>
        </is>
      </c>
      <c r="B364" t="n">
        <v>0</v>
      </c>
      <c r="C364" t="inlineStr">
        <is>
          <t>Violka trojbarevná (Maceška) nať řez. kg</t>
        </is>
      </c>
      <c r="G364" t="n">
        <v>240.18</v>
      </c>
      <c r="H364">
        <f>G364 * B364</f>
        <v/>
      </c>
      <c r="I364" t="n">
        <v>12</v>
      </c>
      <c r="J364">
        <f>269 * B364</f>
        <v/>
      </c>
    </row>
    <row r="365" ht="12.8" customHeight="1" s="26">
      <c r="A365" t="inlineStr">
        <is>
          <t>s245</t>
        </is>
      </c>
      <c r="B365" t="n">
        <v>0</v>
      </c>
      <c r="C365" t="inlineStr">
        <is>
          <t>Vlaštovičník větší nať řez. kg</t>
        </is>
      </c>
      <c r="G365" t="n">
        <v>233.93</v>
      </c>
      <c r="H365">
        <f>G365 * B365</f>
        <v/>
      </c>
      <c r="I365" t="n">
        <v>12</v>
      </c>
      <c r="J365">
        <f>262 * B365</f>
        <v/>
      </c>
    </row>
    <row r="366" ht="12.8" customHeight="1" s="26">
      <c r="A366" s="49" t="inlineStr">
        <is>
          <t>s246</t>
        </is>
      </c>
      <c r="B366" s="49" t="inlineStr">
        <is>
          <t>-</t>
        </is>
      </c>
      <c r="C366" s="49" t="inlineStr">
        <is>
          <t>Vlčí mák červený květ řez. kg</t>
        </is>
      </c>
      <c r="D366" s="49" t="n"/>
      <c r="E366" s="49" t="n"/>
      <c r="F366" s="49" t="n"/>
      <c r="G366" s="49" t="n">
        <v>747.3200000000001</v>
      </c>
      <c r="H366" s="49" t="n"/>
      <c r="I366" s="49" t="n">
        <v>12</v>
      </c>
      <c r="J366" s="49" t="n"/>
      <c r="K366" s="49" t="n"/>
    </row>
    <row r="367" ht="12.8" customHeight="1" s="26">
      <c r="A367" s="49" t="inlineStr">
        <is>
          <t>s247</t>
        </is>
      </c>
      <c r="B367" s="49" t="inlineStr">
        <is>
          <t>-</t>
        </is>
      </c>
      <c r="C367" s="49" t="inlineStr">
        <is>
          <t>Vratič obecný květ řez. kg</t>
        </is>
      </c>
      <c r="D367" s="49" t="n"/>
      <c r="E367" s="49" t="n"/>
      <c r="F367" s="49" t="n"/>
      <c r="G367" s="49" t="n">
        <v>180.36</v>
      </c>
      <c r="H367" s="49" t="n"/>
      <c r="I367" s="49" t="n">
        <v>12</v>
      </c>
      <c r="J367" s="49" t="n"/>
      <c r="K367" s="49" t="n"/>
    </row>
    <row r="368" ht="12.8" customHeight="1" s="26">
      <c r="A368" s="49" t="inlineStr">
        <is>
          <t>s248</t>
        </is>
      </c>
      <c r="B368" s="49" t="inlineStr">
        <is>
          <t>-</t>
        </is>
      </c>
      <c r="C368" s="49" t="inlineStr">
        <is>
          <t>Vratič obecný nať řez. kg</t>
        </is>
      </c>
      <c r="D368" s="49" t="n"/>
      <c r="E368" s="49" t="n"/>
      <c r="F368" s="49" t="n"/>
      <c r="G368" s="49" t="n">
        <v>203.57</v>
      </c>
      <c r="H368" s="49" t="n"/>
      <c r="I368" s="49" t="n">
        <v>12</v>
      </c>
      <c r="J368" s="49" t="n"/>
      <c r="K368" s="49" t="n"/>
    </row>
    <row r="369" ht="12.8" customHeight="1" s="26">
      <c r="A369" t="inlineStr">
        <is>
          <t>s249</t>
        </is>
      </c>
      <c r="B369" t="n">
        <v>0</v>
      </c>
      <c r="C369" t="inlineStr">
        <is>
          <t>Vrba bílá kůra řez. kg</t>
        </is>
      </c>
      <c r="G369" t="n">
        <v>185.71</v>
      </c>
      <c r="H369">
        <f>G369 * B369</f>
        <v/>
      </c>
      <c r="I369" t="n">
        <v>12</v>
      </c>
      <c r="J369">
        <f>208 * B369</f>
        <v/>
      </c>
    </row>
    <row r="370" ht="12.8" customHeight="1" s="26">
      <c r="A370" t="inlineStr">
        <is>
          <t>s249</t>
        </is>
      </c>
      <c r="B370" t="n">
        <v>0</v>
      </c>
      <c r="C370" t="inlineStr">
        <is>
          <t>Vrba bílá kůra řez. kg</t>
        </is>
      </c>
      <c r="G370" t="n">
        <v>185.71</v>
      </c>
      <c r="H370">
        <f>G370 * B370</f>
        <v/>
      </c>
      <c r="I370" t="n">
        <v>12</v>
      </c>
      <c r="J370">
        <f>208 * B370</f>
        <v/>
      </c>
    </row>
    <row r="371" ht="12.8" customHeight="1" s="26">
      <c r="A371" s="49" t="inlineStr">
        <is>
          <t>s250</t>
        </is>
      </c>
      <c r="B371" s="49" t="inlineStr">
        <is>
          <t>-</t>
        </is>
      </c>
      <c r="C371" s="49" t="inlineStr">
        <is>
          <t>Vrba bílá list řez. kg</t>
        </is>
      </c>
      <c r="D371" s="49" t="n"/>
      <c r="E371" s="49" t="n"/>
      <c r="F371" s="49" t="n"/>
      <c r="G371" s="49" t="n">
        <v>330.36</v>
      </c>
      <c r="H371" s="49" t="n"/>
      <c r="I371" s="49" t="n">
        <v>12</v>
      </c>
      <c r="J371" s="49" t="n"/>
      <c r="K371" s="49" t="n"/>
    </row>
    <row r="372" ht="12.8" customHeight="1" s="26">
      <c r="A372" t="inlineStr">
        <is>
          <t>s251</t>
        </is>
      </c>
      <c r="B372" t="n">
        <v>0</v>
      </c>
      <c r="C372" t="inlineStr">
        <is>
          <t>Vrbovka malokvětá nať řez. kg</t>
        </is>
      </c>
      <c r="G372" t="n">
        <v>297.32</v>
      </c>
      <c r="H372">
        <f>G372 * B372</f>
        <v/>
      </c>
      <c r="I372" t="n">
        <v>12</v>
      </c>
      <c r="J372">
        <f>333 * B372</f>
        <v/>
      </c>
    </row>
    <row r="373" ht="12.8" customHeight="1" s="26">
      <c r="A373" t="inlineStr">
        <is>
          <t>s252</t>
        </is>
      </c>
      <c r="B373" t="n">
        <v>0</v>
      </c>
      <c r="C373" t="inlineStr">
        <is>
          <t>Vřes obecný květ celý kg</t>
        </is>
      </c>
      <c r="G373" t="n">
        <v>500.89</v>
      </c>
      <c r="H373">
        <f>G373 * B373</f>
        <v/>
      </c>
      <c r="I373" t="n">
        <v>12</v>
      </c>
      <c r="J373">
        <f>561 * B373</f>
        <v/>
      </c>
    </row>
    <row r="374" ht="12.8" customHeight="1" s="26">
      <c r="A374" t="inlineStr">
        <is>
          <t>s252</t>
        </is>
      </c>
      <c r="B374" t="n">
        <v>0</v>
      </c>
      <c r="C374" t="inlineStr">
        <is>
          <t>Vřes obecný květ celý kg</t>
        </is>
      </c>
      <c r="G374" t="n">
        <v>500.89</v>
      </c>
      <c r="H374">
        <f>G374 * B374</f>
        <v/>
      </c>
      <c r="I374" t="n">
        <v>12</v>
      </c>
      <c r="J374">
        <f>561 * B374</f>
        <v/>
      </c>
    </row>
    <row r="375" ht="12.8" customHeight="1" s="26">
      <c r="A375" t="inlineStr">
        <is>
          <t>s253</t>
        </is>
      </c>
      <c r="B375" t="n">
        <v>0</v>
      </c>
      <c r="C375" t="inlineStr">
        <is>
          <t>Vřes obecný nať s květem řez. kg</t>
        </is>
      </c>
      <c r="G375" t="n">
        <v>222.32</v>
      </c>
      <c r="H375">
        <f>G375 * B375</f>
        <v/>
      </c>
      <c r="I375" t="n">
        <v>12</v>
      </c>
      <c r="J375">
        <f>249 * B375</f>
        <v/>
      </c>
    </row>
    <row r="376" ht="12.8" customHeight="1" s="26">
      <c r="A376" t="inlineStr">
        <is>
          <t>s254</t>
        </is>
      </c>
      <c r="B376" t="n">
        <v>0</v>
      </c>
      <c r="C376" t="inlineStr">
        <is>
          <t>Yzop lékařský nať řez. kg</t>
        </is>
      </c>
      <c r="G376" t="n">
        <v>225</v>
      </c>
      <c r="H376">
        <f>G376 * B376</f>
        <v/>
      </c>
      <c r="I376" t="n">
        <v>12</v>
      </c>
      <c r="J376">
        <f>252 * B376</f>
        <v/>
      </c>
    </row>
    <row r="377" ht="12.8" customHeight="1" s="26">
      <c r="A377" t="inlineStr">
        <is>
          <t>s255</t>
        </is>
      </c>
      <c r="B377" t="n">
        <v>0</v>
      </c>
      <c r="C377" t="inlineStr">
        <is>
          <t>Zázvor pravý oddenek řez. kg</t>
        </is>
      </c>
      <c r="G377" t="n">
        <v>531.25</v>
      </c>
      <c r="H377">
        <f>G377 * B377</f>
        <v/>
      </c>
      <c r="I377" t="n">
        <v>12</v>
      </c>
      <c r="J377">
        <f>595 * B377</f>
        <v/>
      </c>
    </row>
    <row r="378" ht="12.8" customHeight="1" s="26">
      <c r="A378" t="inlineStr">
        <is>
          <t>s255</t>
        </is>
      </c>
      <c r="B378" t="n">
        <v>0</v>
      </c>
      <c r="C378" t="inlineStr">
        <is>
          <t>Zázvor pravý oddenek řez. kg</t>
        </is>
      </c>
      <c r="G378" t="n">
        <v>531.25</v>
      </c>
      <c r="H378">
        <f>G378 * B378</f>
        <v/>
      </c>
      <c r="I378" t="n">
        <v>12</v>
      </c>
      <c r="J378">
        <f>595 * B378</f>
        <v/>
      </c>
    </row>
    <row r="379" ht="12.8" customHeight="1" s="26">
      <c r="A379" t="inlineStr">
        <is>
          <t>s256</t>
        </is>
      </c>
      <c r="B379" t="n">
        <v>0</v>
      </c>
      <c r="C379" t="inlineStr">
        <is>
          <t>Zemědým lékařský nať řez. kg</t>
        </is>
      </c>
      <c r="G379" t="n">
        <v>419.64</v>
      </c>
      <c r="H379">
        <f>G379 * B379</f>
        <v/>
      </c>
      <c r="I379" t="n">
        <v>12</v>
      </c>
      <c r="J379">
        <f>470 * B379</f>
        <v/>
      </c>
    </row>
    <row r="380" ht="12.8" customHeight="1" s="26">
      <c r="A380" t="inlineStr">
        <is>
          <t>s257</t>
        </is>
      </c>
      <c r="B380" t="n">
        <v>0</v>
      </c>
      <c r="C380" t="inlineStr">
        <is>
          <t>Zeměžluč lékařská nať řez. kg</t>
        </is>
      </c>
      <c r="G380" t="n">
        <v>600</v>
      </c>
      <c r="H380">
        <f>G380 * B380</f>
        <v/>
      </c>
      <c r="I380" t="n">
        <v>12</v>
      </c>
      <c r="J380">
        <f>672 * B380</f>
        <v/>
      </c>
    </row>
    <row r="381" ht="12.8" customHeight="1" s="26">
      <c r="A381" t="inlineStr">
        <is>
          <t>s258</t>
        </is>
      </c>
      <c r="B381" t="n">
        <v>0</v>
      </c>
      <c r="C381" t="inlineStr">
        <is>
          <t>Zlatobýl celík nať řez. kg</t>
        </is>
      </c>
      <c r="G381" t="n">
        <v>284.82</v>
      </c>
      <c r="H381">
        <f>G381 * B381</f>
        <v/>
      </c>
      <c r="I381" t="n">
        <v>12</v>
      </c>
      <c r="J381">
        <f>319 * B381</f>
        <v/>
      </c>
    </row>
    <row r="382" ht="12.8" customHeight="1" s="26">
      <c r="A382" s="49" t="inlineStr">
        <is>
          <t>s259</t>
        </is>
      </c>
      <c r="B382" s="49" t="inlineStr">
        <is>
          <t>-</t>
        </is>
      </c>
      <c r="C382" s="49" t="inlineStr">
        <is>
          <t>Zlatobýl kanadský nať řez. kg</t>
        </is>
      </c>
      <c r="D382" s="49" t="n"/>
      <c r="E382" s="49" t="n"/>
      <c r="F382" s="49" t="n"/>
      <c r="G382" s="49" t="n">
        <v>216.07</v>
      </c>
      <c r="H382" s="49" t="n"/>
      <c r="I382" s="49" t="n">
        <v>12</v>
      </c>
      <c r="J382" s="49" t="n"/>
      <c r="K382" s="49" t="n"/>
    </row>
    <row r="383" ht="12.8" customHeight="1" s="26">
      <c r="A383" s="49" t="inlineStr">
        <is>
          <t>s259</t>
        </is>
      </c>
      <c r="B383" s="49" t="inlineStr">
        <is>
          <t>-</t>
        </is>
      </c>
      <c r="C383" s="49" t="inlineStr">
        <is>
          <t>Zlatobýl kanadský nať řez. kg</t>
        </is>
      </c>
      <c r="D383" s="49" t="n"/>
      <c r="E383" s="49" t="n"/>
      <c r="F383" s="49" t="n"/>
      <c r="G383" s="49" t="n">
        <v>216.07</v>
      </c>
      <c r="H383" s="49" t="n"/>
      <c r="I383" s="49" t="n">
        <v>12</v>
      </c>
      <c r="J383" s="49" t="n"/>
      <c r="K383" s="49" t="n"/>
    </row>
    <row r="384" ht="12.8" customHeight="1" s="26">
      <c r="A384" t="inlineStr">
        <is>
          <t>s260</t>
        </is>
      </c>
      <c r="B384" t="n">
        <v>0</v>
      </c>
      <c r="C384" t="inlineStr">
        <is>
          <t>Ženšen pravý kořen řez. kg</t>
        </is>
      </c>
      <c r="G384" t="n">
        <v>5700</v>
      </c>
      <c r="H384">
        <f>G384 * B384</f>
        <v/>
      </c>
      <c r="I384" t="n">
        <v>12</v>
      </c>
      <c r="J384">
        <f>6384 * B384</f>
        <v/>
      </c>
    </row>
    <row r="385" ht="12.8" customHeight="1" s="26">
      <c r="A385" s="48" t="inlineStr">
        <is>
          <t>Suroviny sypané, Čaje, černé, zelené (Camellia sinensis) jednodruhové sypané v KG</t>
        </is>
      </c>
      <c r="B385" s="48" t="inlineStr"/>
      <c r="C385" s="48" t="inlineStr"/>
      <c r="D385" s="48" t="inlineStr"/>
      <c r="E385" s="48" t="inlineStr"/>
      <c r="F385" s="48" t="inlineStr"/>
      <c r="G385" s="48" t="inlineStr"/>
      <c r="H385" s="48" t="inlineStr"/>
      <c r="I385" s="48" t="inlineStr"/>
      <c r="J385" s="48" t="inlineStr"/>
      <c r="K385" s="48" t="n"/>
    </row>
    <row r="386" ht="12.8" customHeight="1" s="26">
      <c r="A386" s="49" t="inlineStr">
        <is>
          <t>ca1001</t>
        </is>
      </c>
      <c r="B386" s="49" t="inlineStr">
        <is>
          <t>-</t>
        </is>
      </c>
      <c r="C386" s="49" t="inlineStr">
        <is>
          <t>Ceylon black EARLGREY OP (listový černý čaj) kg</t>
        </is>
      </c>
      <c r="D386" s="49" t="n"/>
      <c r="E386" s="49" t="n"/>
      <c r="F386" s="49" t="n"/>
      <c r="G386" s="49" t="n">
        <v>419.64</v>
      </c>
      <c r="H386" s="49" t="n"/>
      <c r="I386" s="49" t="n">
        <v>12</v>
      </c>
      <c r="J386" s="49" t="n"/>
      <c r="K386" s="49" t="n"/>
    </row>
    <row r="387" ht="12.8" customHeight="1" s="26">
      <c r="A387" t="inlineStr">
        <is>
          <t>ca1002</t>
        </is>
      </c>
      <c r="B387" t="n">
        <v>0</v>
      </c>
      <c r="C387" t="inlineStr">
        <is>
          <t>Ceylon black OP (listový černý čaj) kg</t>
        </is>
      </c>
      <c r="G387" t="n">
        <v>390.18</v>
      </c>
      <c r="H387">
        <f>G387 * B387</f>
        <v/>
      </c>
      <c r="I387" t="n">
        <v>12</v>
      </c>
      <c r="J387">
        <f>437 * B387</f>
        <v/>
      </c>
    </row>
    <row r="388" ht="12.8" customHeight="1" s="26">
      <c r="A388" s="49" t="inlineStr">
        <is>
          <t>ca1003</t>
        </is>
      </c>
      <c r="B388" s="49" t="inlineStr">
        <is>
          <t>-</t>
        </is>
      </c>
      <c r="C388" s="49" t="inlineStr">
        <is>
          <t>Gruzínský black OP (listový černý čaj) kg</t>
        </is>
      </c>
      <c r="D388" s="49" t="n"/>
      <c r="E388" s="49" t="n"/>
      <c r="F388" s="49" t="n"/>
      <c r="G388" s="49" t="n">
        <v>300</v>
      </c>
      <c r="H388" s="49" t="n"/>
      <c r="I388" s="49" t="n">
        <v>12</v>
      </c>
      <c r="J388" s="49" t="n"/>
      <c r="K388" s="49" t="n"/>
    </row>
    <row r="389" ht="12.8" customHeight="1" s="26">
      <c r="A389" s="49" t="inlineStr">
        <is>
          <t>ca1004</t>
        </is>
      </c>
      <c r="B389" s="49" t="inlineStr">
        <is>
          <t>-</t>
        </is>
      </c>
      <c r="C389" s="49" t="inlineStr">
        <is>
          <t>China Jasmín black speciál (listový černý čaj) kg</t>
        </is>
      </c>
      <c r="D389" s="49" t="n"/>
      <c r="E389" s="49" t="n"/>
      <c r="F389" s="49" t="n"/>
      <c r="G389" s="49" t="n">
        <v>480.36</v>
      </c>
      <c r="H389" s="49" t="n"/>
      <c r="I389" s="49" t="n">
        <v>12</v>
      </c>
      <c r="J389" s="49" t="n"/>
      <c r="K389" s="49" t="n"/>
    </row>
    <row r="390" ht="12.8" customHeight="1" s="26">
      <c r="A390" t="inlineStr">
        <is>
          <t>ca1005</t>
        </is>
      </c>
      <c r="B390" t="n">
        <v>0</v>
      </c>
      <c r="C390" t="inlineStr">
        <is>
          <t>China Keemun black OP (listový černý čaj) kg</t>
        </is>
      </c>
      <c r="G390" t="n">
        <v>681.25</v>
      </c>
      <c r="H390">
        <f>G390 * B390</f>
        <v/>
      </c>
      <c r="I390" t="n">
        <v>12</v>
      </c>
      <c r="J390">
        <f>763 * B390</f>
        <v/>
      </c>
    </row>
    <row r="391" ht="12.8" customHeight="1" s="26">
      <c r="A391" t="inlineStr">
        <is>
          <t>ca1006</t>
        </is>
      </c>
      <c r="B391" t="n">
        <v>0</v>
      </c>
      <c r="C391" t="inlineStr">
        <is>
          <t>China Lapsang Souchong black (kouřový listový černý čaj) kg</t>
        </is>
      </c>
      <c r="G391" t="n">
        <v>624.11</v>
      </c>
      <c r="H391">
        <f>G391 * B391</f>
        <v/>
      </c>
      <c r="I391" t="n">
        <v>12</v>
      </c>
      <c r="J391">
        <f>699 * B391</f>
        <v/>
      </c>
    </row>
    <row r="392" ht="12.8" customHeight="1" s="26">
      <c r="A392" t="inlineStr">
        <is>
          <t>ca1007</t>
        </is>
      </c>
      <c r="B392" t="n">
        <v>0</v>
      </c>
      <c r="C392" t="inlineStr">
        <is>
          <t>China Yunnan black OP (listový černý čaj) kg</t>
        </is>
      </c>
      <c r="G392" t="n">
        <v>381.25</v>
      </c>
      <c r="H392">
        <f>G392 * B392</f>
        <v/>
      </c>
      <c r="I392" t="n">
        <v>12</v>
      </c>
      <c r="J392">
        <f>427 * B392</f>
        <v/>
      </c>
    </row>
    <row r="393" ht="12.8" customHeight="1" s="26">
      <c r="A393" s="49" t="inlineStr">
        <is>
          <t>ca1008</t>
        </is>
      </c>
      <c r="B393" s="49" t="inlineStr">
        <is>
          <t>-</t>
        </is>
      </c>
      <c r="C393" s="49" t="inlineStr">
        <is>
          <t>China Pu-erh black (pu-erh yunnan OP listový černý čaj) kg</t>
        </is>
      </c>
      <c r="D393" s="49" t="n"/>
      <c r="E393" s="49" t="n"/>
      <c r="F393" s="49" t="n"/>
      <c r="G393" s="49" t="n">
        <v>560.71</v>
      </c>
      <c r="H393" s="49" t="n"/>
      <c r="I393" s="49" t="n">
        <v>12</v>
      </c>
      <c r="J393" s="49" t="n"/>
      <c r="K393" s="49" t="n"/>
    </row>
    <row r="394" ht="12.8" customHeight="1" s="26">
      <c r="A394" s="49" t="inlineStr">
        <is>
          <t>ca1009</t>
        </is>
      </c>
      <c r="B394" s="49" t="inlineStr">
        <is>
          <t>-</t>
        </is>
      </c>
      <c r="C394" s="49" t="inlineStr">
        <is>
          <t>India Assam black TGFOPI (listový černý čaj) kg</t>
        </is>
      </c>
      <c r="D394" s="49" t="n"/>
      <c r="E394" s="49" t="n"/>
      <c r="F394" s="49" t="n"/>
      <c r="G394" s="49" t="n">
        <v>471.43</v>
      </c>
      <c r="H394" s="49" t="n"/>
      <c r="I394" s="49" t="n">
        <v>12</v>
      </c>
      <c r="J394" s="49" t="n"/>
      <c r="K394" s="49" t="n"/>
    </row>
    <row r="395" ht="12.8" customHeight="1" s="26">
      <c r="A395" s="49" t="inlineStr">
        <is>
          <t>ca1010</t>
        </is>
      </c>
      <c r="B395" s="49" t="inlineStr">
        <is>
          <t>-</t>
        </is>
      </c>
      <c r="C395" s="49" t="inlineStr">
        <is>
          <t>India Darjeeling black FTGFOPI (listový černý čaj) kg</t>
        </is>
      </c>
      <c r="D395" s="49" t="n"/>
      <c r="E395" s="49" t="n"/>
      <c r="F395" s="49" t="n"/>
      <c r="G395" s="49" t="n">
        <v>944.64</v>
      </c>
      <c r="H395" s="49" t="n"/>
      <c r="I395" s="49" t="n">
        <v>12</v>
      </c>
      <c r="J395" s="49" t="n"/>
      <c r="K395" s="49" t="n"/>
    </row>
    <row r="396" ht="12.8" customHeight="1" s="26">
      <c r="A396" s="49" t="inlineStr">
        <is>
          <t>ca1011</t>
        </is>
      </c>
      <c r="B396" s="49" t="inlineStr">
        <is>
          <t>-</t>
        </is>
      </c>
      <c r="C396" s="49" t="inlineStr">
        <is>
          <t>Iran OP black (listový černý čaj) kg</t>
        </is>
      </c>
      <c r="D396" s="49" t="n"/>
      <c r="E396" s="49" t="n"/>
      <c r="F396" s="49" t="n"/>
      <c r="G396" s="49" t="n">
        <v>269.64</v>
      </c>
      <c r="H396" s="49" t="n"/>
      <c r="I396" s="49" t="n">
        <v>12</v>
      </c>
      <c r="J396" s="49" t="n"/>
      <c r="K396" s="49" t="n"/>
    </row>
    <row r="397" ht="12.8" customHeight="1" s="26">
      <c r="A397" t="inlineStr">
        <is>
          <t>ca1013</t>
        </is>
      </c>
      <c r="B397" t="n">
        <v>0</v>
      </c>
      <c r="C397" t="inlineStr">
        <is>
          <t>Vietnam black OP (listový černý čaj) kg</t>
        </is>
      </c>
      <c r="G397" t="n">
        <v>240.18</v>
      </c>
      <c r="H397">
        <f>G397 * B397</f>
        <v/>
      </c>
      <c r="I397" t="n">
        <v>12</v>
      </c>
      <c r="J397">
        <f>269 * B397</f>
        <v/>
      </c>
    </row>
    <row r="398" ht="12.8" customHeight="1" s="26">
      <c r="A398" t="inlineStr">
        <is>
          <t>ca2001</t>
        </is>
      </c>
      <c r="B398" t="n">
        <v>0</v>
      </c>
      <c r="C398" t="inlineStr">
        <is>
          <t>China Pai mu tan (Bílá pivoňka) (listový zelený čaj) kg</t>
        </is>
      </c>
      <c r="G398" t="n">
        <v>1005.36</v>
      </c>
      <c r="H398">
        <f>G398 * B398</f>
        <v/>
      </c>
      <c r="I398" t="n">
        <v>12</v>
      </c>
      <c r="J398">
        <f>1126 * B398</f>
        <v/>
      </c>
    </row>
    <row r="399" ht="12.8" customHeight="1" s="26">
      <c r="A399" s="49" t="inlineStr">
        <is>
          <t>ca2002</t>
        </is>
      </c>
      <c r="B399" s="49" t="inlineStr">
        <is>
          <t>-</t>
        </is>
      </c>
      <c r="C399" s="49" t="inlineStr">
        <is>
          <t>Ceylon green EARLGREY OP (listový zelený čaj) kg</t>
        </is>
      </c>
      <c r="D399" s="49" t="n"/>
      <c r="E399" s="49" t="n"/>
      <c r="F399" s="49" t="n"/>
      <c r="G399" s="49" t="n">
        <v>390.18</v>
      </c>
      <c r="H399" s="49" t="n"/>
      <c r="I399" s="49" t="n">
        <v>12</v>
      </c>
      <c r="J399" s="49" t="n"/>
      <c r="K399" s="49" t="n"/>
    </row>
    <row r="400" ht="12.8" customHeight="1" s="26">
      <c r="A400" s="49" t="inlineStr">
        <is>
          <t>ca20021</t>
        </is>
      </c>
      <c r="B400" s="49" t="inlineStr">
        <is>
          <t>-</t>
        </is>
      </c>
      <c r="C400" s="49" t="inlineStr">
        <is>
          <t>Ceylon Gunpowder extra special (listový zelený čaj) kg</t>
        </is>
      </c>
      <c r="D400" s="49" t="n"/>
      <c r="E400" s="49" t="n"/>
      <c r="F400" s="49" t="n"/>
      <c r="G400" s="49" t="n">
        <v>657.14</v>
      </c>
      <c r="H400" s="49" t="n"/>
      <c r="I400" s="49" t="n">
        <v>12</v>
      </c>
      <c r="J400" s="49" t="n"/>
      <c r="K400" s="49" t="n"/>
    </row>
    <row r="401" ht="12.8" customHeight="1" s="26">
      <c r="A401" s="49" t="inlineStr">
        <is>
          <t>ca2003</t>
        </is>
      </c>
      <c r="B401" s="49" t="inlineStr">
        <is>
          <t>-</t>
        </is>
      </c>
      <c r="C401" s="49" t="inlineStr">
        <is>
          <t>Ceylon green OP (listový zelený čaj) kg</t>
        </is>
      </c>
      <c r="D401" s="49" t="n"/>
      <c r="E401" s="49" t="n"/>
      <c r="F401" s="49" t="n"/>
      <c r="G401" s="49" t="n">
        <v>359.82</v>
      </c>
      <c r="H401" s="49" t="n"/>
      <c r="I401" s="49" t="n">
        <v>12</v>
      </c>
      <c r="J401" s="49" t="n"/>
      <c r="K401" s="49" t="n"/>
    </row>
    <row r="402" ht="12.8" customHeight="1" s="26">
      <c r="A402" s="49" t="inlineStr">
        <is>
          <t>ca2004</t>
        </is>
      </c>
      <c r="B402" s="49" t="inlineStr">
        <is>
          <t>-</t>
        </is>
      </c>
      <c r="C402" s="49" t="inlineStr">
        <is>
          <t>China Gunpowder green (listový zelený čaj) kg</t>
        </is>
      </c>
      <c r="D402" s="49" t="n"/>
      <c r="E402" s="49" t="n"/>
      <c r="F402" s="49" t="n"/>
      <c r="G402" s="49" t="n">
        <v>275.89</v>
      </c>
      <c r="H402" s="49" t="n"/>
      <c r="I402" s="49" t="n">
        <v>12</v>
      </c>
      <c r="J402" s="49" t="n"/>
      <c r="K402" s="49" t="n"/>
    </row>
    <row r="403" ht="12.8" customHeight="1" s="26">
      <c r="A403" s="49" t="inlineStr">
        <is>
          <t>ca2005</t>
        </is>
      </c>
      <c r="B403" s="49" t="inlineStr">
        <is>
          <t>-</t>
        </is>
      </c>
      <c r="C403" s="49" t="inlineStr">
        <is>
          <t>China Gunpowder green temple of heaven (listový zelený čaj) kg</t>
        </is>
      </c>
      <c r="D403" s="49" t="n"/>
      <c r="E403" s="49" t="n"/>
      <c r="F403" s="49" t="n"/>
      <c r="G403" s="49" t="n">
        <v>525</v>
      </c>
      <c r="H403" s="49" t="n"/>
      <c r="I403" s="49" t="n">
        <v>12</v>
      </c>
      <c r="J403" s="49" t="n"/>
      <c r="K403" s="49" t="n"/>
    </row>
    <row r="404" ht="12.8" customHeight="1" s="26">
      <c r="A404" s="49" t="inlineStr">
        <is>
          <t>ca2006</t>
        </is>
      </c>
      <c r="B404" s="49" t="inlineStr">
        <is>
          <t>-</t>
        </is>
      </c>
      <c r="C404" s="49" t="inlineStr">
        <is>
          <t>China Chun Mee (listový zelený čaj) kg</t>
        </is>
      </c>
      <c r="D404" s="49" t="n"/>
      <c r="E404" s="49" t="n"/>
      <c r="F404" s="49" t="n"/>
      <c r="G404" s="49" t="n">
        <v>480.36</v>
      </c>
      <c r="H404" s="49" t="n"/>
      <c r="I404" s="49" t="n">
        <v>12</v>
      </c>
      <c r="J404" s="49" t="n"/>
      <c r="K404" s="49" t="n"/>
    </row>
    <row r="405" ht="12.8" customHeight="1" s="26">
      <c r="A405" s="49" t="inlineStr">
        <is>
          <t>ca2007</t>
        </is>
      </c>
      <c r="B405" s="49" t="inlineStr">
        <is>
          <t>-</t>
        </is>
      </c>
      <c r="C405" s="49" t="inlineStr">
        <is>
          <t>China Jasmín green special congou (listový zelený čaj) kg</t>
        </is>
      </c>
      <c r="D405" s="49" t="n"/>
      <c r="E405" s="49" t="n"/>
      <c r="F405" s="49" t="n"/>
      <c r="G405" s="49" t="n">
        <v>840.1799999999999</v>
      </c>
      <c r="H405" s="49" t="n"/>
      <c r="I405" s="49" t="n">
        <v>12</v>
      </c>
      <c r="J405" s="49" t="n"/>
      <c r="K405" s="49" t="n"/>
    </row>
    <row r="406" ht="12.8" customHeight="1" s="26">
      <c r="A406" t="inlineStr">
        <is>
          <t>ca2008</t>
        </is>
      </c>
      <c r="B406" t="n">
        <v>0</v>
      </c>
      <c r="C406" t="inlineStr">
        <is>
          <t>China Lung ching (Dračí studna) (listový zelený čaj) kg</t>
        </is>
      </c>
      <c r="G406" t="n">
        <v>1275</v>
      </c>
      <c r="H406">
        <f>G406 * B406</f>
        <v/>
      </c>
      <c r="I406" t="n">
        <v>12</v>
      </c>
      <c r="J406">
        <f>1428 * B406</f>
        <v/>
      </c>
    </row>
    <row r="407" ht="12.8" customHeight="1" s="26">
      <c r="A407" t="inlineStr">
        <is>
          <t>ca2009</t>
        </is>
      </c>
      <c r="B407" t="n">
        <v>0</v>
      </c>
      <c r="C407" t="inlineStr">
        <is>
          <t>China Oolong Se Chung (listový zelený čaj) kg</t>
        </is>
      </c>
      <c r="G407" t="n">
        <v>659.8200000000001</v>
      </c>
      <c r="H407">
        <f>G407 * B407</f>
        <v/>
      </c>
      <c r="I407" t="n">
        <v>12</v>
      </c>
      <c r="J407">
        <f>739 * B407</f>
        <v/>
      </c>
    </row>
    <row r="408" ht="12.8" customHeight="1" s="26">
      <c r="A408" s="49" t="inlineStr">
        <is>
          <t>ca2010</t>
        </is>
      </c>
      <c r="B408" s="49" t="inlineStr">
        <is>
          <t>-</t>
        </is>
      </c>
      <c r="C408" s="49" t="inlineStr">
        <is>
          <t>China Sencha green (listový zelený čaj) kg</t>
        </is>
      </c>
      <c r="D408" s="49" t="n"/>
      <c r="E408" s="49" t="n"/>
      <c r="F408" s="49" t="n"/>
      <c r="G408" s="49" t="n">
        <v>452.68</v>
      </c>
      <c r="H408" s="49" t="n"/>
      <c r="I408" s="49" t="n">
        <v>12</v>
      </c>
      <c r="J408" s="49" t="n"/>
      <c r="K408" s="49" t="n"/>
    </row>
    <row r="409" ht="12.8" customHeight="1" s="26">
      <c r="A409" s="49" t="inlineStr">
        <is>
          <t>ca2011</t>
        </is>
      </c>
      <c r="B409" s="49" t="inlineStr">
        <is>
          <t>-</t>
        </is>
      </c>
      <c r="C409" s="49" t="inlineStr">
        <is>
          <t>Iran OP green (listový zelený čaj) kg</t>
        </is>
      </c>
      <c r="D409" s="49" t="n"/>
      <c r="E409" s="49" t="n"/>
      <c r="F409" s="49" t="n"/>
      <c r="G409" s="49" t="n">
        <v>209.82</v>
      </c>
      <c r="H409" s="49" t="n"/>
      <c r="I409" s="49" t="n">
        <v>12</v>
      </c>
      <c r="J409" s="49" t="n"/>
      <c r="K409" s="49" t="n"/>
    </row>
    <row r="410" ht="12.8" customHeight="1" s="26">
      <c r="A410" s="49" t="inlineStr">
        <is>
          <t>ca2012</t>
        </is>
      </c>
      <c r="B410" s="49" t="inlineStr">
        <is>
          <t>-</t>
        </is>
      </c>
      <c r="C410" s="49" t="inlineStr">
        <is>
          <t>Japan Bancha (listový zelený čaj) kg</t>
        </is>
      </c>
      <c r="D410" s="49" t="n"/>
      <c r="E410" s="49" t="n"/>
      <c r="F410" s="49" t="n"/>
      <c r="G410" s="49" t="n">
        <v>1215.18</v>
      </c>
      <c r="H410" s="49" t="n"/>
      <c r="I410" s="49" t="n">
        <v>12</v>
      </c>
      <c r="J410" s="49" t="n"/>
      <c r="K410" s="49" t="n"/>
    </row>
    <row r="411" ht="12.8" customHeight="1" s="26">
      <c r="A411" s="49" t="inlineStr">
        <is>
          <t>ca2013</t>
        </is>
      </c>
      <c r="B411" s="49" t="inlineStr">
        <is>
          <t>-</t>
        </is>
      </c>
      <c r="C411" s="49" t="inlineStr">
        <is>
          <t>Japan Genmaicha (listový zelený čaj) kg</t>
        </is>
      </c>
      <c r="D411" s="49" t="n"/>
      <c r="E411" s="49" t="n"/>
      <c r="F411" s="49" t="n"/>
      <c r="G411" s="49" t="n">
        <v>1791.07</v>
      </c>
      <c r="H411" s="49" t="n"/>
      <c r="I411" s="49" t="n">
        <v>12</v>
      </c>
      <c r="J411" s="49" t="n"/>
      <c r="K411" s="49" t="n"/>
    </row>
    <row r="412" ht="12.8" customHeight="1" s="26">
      <c r="A412" s="49" t="inlineStr">
        <is>
          <t>ca2014</t>
        </is>
      </c>
      <c r="B412" s="49" t="inlineStr">
        <is>
          <t>-</t>
        </is>
      </c>
      <c r="C412" s="49" t="inlineStr">
        <is>
          <t>Japan Sencha fukuyu (listový zelený čaj) kg</t>
        </is>
      </c>
      <c r="D412" s="49" t="n"/>
      <c r="E412" s="49" t="n"/>
      <c r="F412" s="49" t="n"/>
      <c r="G412" s="49" t="n">
        <v>1544.64</v>
      </c>
      <c r="H412" s="49" t="n"/>
      <c r="I412" s="49" t="n">
        <v>12</v>
      </c>
      <c r="J412" s="49" t="n"/>
      <c r="K412" s="49" t="n"/>
    </row>
    <row r="413" ht="12.8" customHeight="1" s="26">
      <c r="A413" s="49" t="inlineStr">
        <is>
          <t>ca2015</t>
        </is>
      </c>
      <c r="B413" s="49" t="inlineStr">
        <is>
          <t>-</t>
        </is>
      </c>
      <c r="C413" s="49" t="inlineStr">
        <is>
          <t>Vietnam green OP (listový zelený čaj) kg</t>
        </is>
      </c>
      <c r="D413" s="49" t="n"/>
      <c r="E413" s="49" t="n"/>
      <c r="F413" s="49" t="n"/>
      <c r="G413" s="49" t="n">
        <v>249.11</v>
      </c>
      <c r="H413" s="49" t="n"/>
      <c r="I413" s="49" t="n">
        <v>12</v>
      </c>
      <c r="J413" s="49" t="n"/>
      <c r="K413" s="49" t="n"/>
    </row>
    <row r="414" ht="12.8" customHeight="1" s="26">
      <c r="A414" t="inlineStr">
        <is>
          <t>ca2016</t>
        </is>
      </c>
      <c r="B414" t="n">
        <v>0</v>
      </c>
      <c r="C414" t="inlineStr">
        <is>
          <t>China Yunnan green OP (listový zelený čaj) kg</t>
        </is>
      </c>
      <c r="G414" t="n">
        <v>663.39</v>
      </c>
      <c r="H414">
        <f>G414 * B414</f>
        <v/>
      </c>
      <c r="I414" t="n">
        <v>12</v>
      </c>
      <c r="J414">
        <f>743 * B414</f>
        <v/>
      </c>
    </row>
    <row r="415" ht="12.8" customHeight="1" s="26">
      <c r="A415" s="48" t="inlineStr">
        <is>
          <t>Čaje porcované, Bylinné čaje (směsi) porcované</t>
        </is>
      </c>
      <c r="B415" s="48" t="inlineStr"/>
      <c r="C415" s="48" t="inlineStr"/>
      <c r="D415" s="48" t="inlineStr"/>
      <c r="E415" s="48" t="inlineStr"/>
      <c r="F415" s="48" t="inlineStr"/>
      <c r="G415" s="48" t="inlineStr"/>
      <c r="H415" s="48" t="inlineStr"/>
      <c r="I415" s="48" t="inlineStr"/>
      <c r="J415" s="48" t="inlineStr"/>
      <c r="K415" s="48" t="n"/>
    </row>
    <row r="416" ht="12.8" customHeight="1" s="26">
      <c r="A416" t="inlineStr">
        <is>
          <t>99210</t>
        </is>
      </c>
      <c r="B416" t="n">
        <v>0</v>
      </c>
      <c r="C416" t="inlineStr">
        <is>
          <t>Horský čaj 30g(20x1,5g) ks</t>
        </is>
      </c>
      <c r="F416" t="inlineStr">
        <is>
          <t>8594056695829</t>
        </is>
      </c>
      <c r="G416" t="n">
        <v>40.18</v>
      </c>
      <c r="H416">
        <f>G416 * B416</f>
        <v/>
      </c>
      <c r="I416" t="n">
        <v>12</v>
      </c>
      <c r="J416">
        <f>45 * B416</f>
        <v/>
      </c>
    </row>
    <row r="417" ht="12.8" customHeight="1" s="26">
      <c r="A417" t="inlineStr">
        <is>
          <t>99226</t>
        </is>
      </c>
      <c r="B417" t="n">
        <v>0</v>
      </c>
      <c r="C417" t="inlineStr">
        <is>
          <t>Vánoční čaj 40g(20x2g) ks</t>
        </is>
      </c>
      <c r="F417" t="inlineStr">
        <is>
          <t>8594056695997</t>
        </is>
      </c>
      <c r="G417" t="n">
        <v>47.32</v>
      </c>
      <c r="H417">
        <f>G417 * B417</f>
        <v/>
      </c>
      <c r="I417" t="n">
        <v>12</v>
      </c>
      <c r="J417">
        <f>53 * B417</f>
        <v/>
      </c>
    </row>
    <row r="418" ht="12.8" customHeight="1" s="26">
      <c r="A418" t="inlineStr">
        <is>
          <t>99227</t>
        </is>
      </c>
      <c r="B418" t="n">
        <v>0</v>
      </c>
      <c r="C418" t="inlineStr">
        <is>
          <t>Svařáček 40g(20x2g) ks</t>
        </is>
      </c>
      <c r="F418" t="inlineStr">
        <is>
          <t>8594056696000</t>
        </is>
      </c>
      <c r="G418" t="n">
        <v>40.18</v>
      </c>
      <c r="H418">
        <f>G418 * B418</f>
        <v/>
      </c>
      <c r="I418" t="n">
        <v>12</v>
      </c>
      <c r="J418">
        <f>45 * B418</f>
        <v/>
      </c>
    </row>
    <row r="419" ht="12.8" customHeight="1" s="26">
      <c r="A419" t="inlineStr">
        <is>
          <t>99228</t>
        </is>
      </c>
      <c r="B419" t="n">
        <v>0</v>
      </c>
      <c r="C419" t="inlineStr">
        <is>
          <t>Něco na mě leze - čaj 30g(20x1,5g) ks</t>
        </is>
      </c>
      <c r="F419" t="inlineStr">
        <is>
          <t>8594056696024</t>
        </is>
      </c>
      <c r="G419" t="n">
        <v>40.18</v>
      </c>
      <c r="H419">
        <f>G419 * B419</f>
        <v/>
      </c>
      <c r="I419" t="n">
        <v>12</v>
      </c>
      <c r="J419">
        <f>45 * B419</f>
        <v/>
      </c>
    </row>
    <row r="420" ht="12.8" customHeight="1" s="26">
      <c r="A420" t="inlineStr">
        <is>
          <t>99229</t>
        </is>
      </c>
      <c r="B420" t="n">
        <v>0</v>
      </c>
      <c r="C420" t="inlineStr">
        <is>
          <t>Průdušky - dýchání a hleny 30g(20x1,5g) ks</t>
        </is>
      </c>
      <c r="F420" t="inlineStr">
        <is>
          <t>8594056696031</t>
        </is>
      </c>
      <c r="G420" t="n">
        <v>40.18</v>
      </c>
      <c r="H420">
        <f>G420 * B420</f>
        <v/>
      </c>
      <c r="I420" t="n">
        <v>12</v>
      </c>
      <c r="J420">
        <f>45 * B420</f>
        <v/>
      </c>
    </row>
    <row r="421" ht="12.8" customHeight="1" s="26">
      <c r="A421" t="inlineStr">
        <is>
          <t>99230</t>
        </is>
      </c>
      <c r="B421" t="n">
        <v>0</v>
      </c>
      <c r="C421" t="inlineStr">
        <is>
          <t>Spánek a nervy 30g(20x1,5g) ks</t>
        </is>
      </c>
      <c r="F421" t="inlineStr">
        <is>
          <t>8594056696048</t>
        </is>
      </c>
      <c r="G421" t="n">
        <v>40.18</v>
      </c>
      <c r="H421">
        <f>G421 * B421</f>
        <v/>
      </c>
      <c r="I421" t="n">
        <v>12</v>
      </c>
      <c r="J421">
        <f>45 * B421</f>
        <v/>
      </c>
    </row>
    <row r="422" ht="12.8" customHeight="1" s="26">
      <c r="A422" t="inlineStr">
        <is>
          <t>99231</t>
        </is>
      </c>
      <c r="B422" t="n">
        <v>0</v>
      </c>
      <c r="C422" t="inlineStr">
        <is>
          <t>Žaludek a střeva 30g(20x1,5g) ks</t>
        </is>
      </c>
      <c r="F422" t="inlineStr">
        <is>
          <t>8594056696055</t>
        </is>
      </c>
      <c r="G422" t="n">
        <v>40.18</v>
      </c>
      <c r="H422">
        <f>G422 * B422</f>
        <v/>
      </c>
      <c r="I422" t="n">
        <v>12</v>
      </c>
      <c r="J422">
        <f>45 * B422</f>
        <v/>
      </c>
    </row>
    <row r="423" ht="12.8" customHeight="1" s="26">
      <c r="A423" t="inlineStr">
        <is>
          <t>99232</t>
        </is>
      </c>
      <c r="B423" t="n">
        <v>0</v>
      </c>
      <c r="C423" t="inlineStr">
        <is>
          <t>Čistící čaj 30g(20x1,5g) ks</t>
        </is>
      </c>
      <c r="F423" t="inlineStr">
        <is>
          <t>8594056696062</t>
        </is>
      </c>
      <c r="G423" t="n">
        <v>40.18</v>
      </c>
      <c r="H423">
        <f>G423 * B423</f>
        <v/>
      </c>
      <c r="I423" t="n">
        <v>12</v>
      </c>
      <c r="J423">
        <f>45 * B423</f>
        <v/>
      </c>
    </row>
    <row r="424" ht="12.8" customHeight="1" s="26">
      <c r="A424" t="inlineStr">
        <is>
          <t>99233</t>
        </is>
      </c>
      <c r="B424" t="n">
        <v>0</v>
      </c>
      <c r="C424" t="inlineStr">
        <is>
          <t>Urologický čaj 30g(20x1,5g) ks</t>
        </is>
      </c>
      <c r="F424" t="inlineStr">
        <is>
          <t>8594056696079</t>
        </is>
      </c>
      <c r="G424" t="n">
        <v>40.18</v>
      </c>
      <c r="H424">
        <f>G424 * B424</f>
        <v/>
      </c>
      <c r="I424" t="n">
        <v>12</v>
      </c>
      <c r="J424">
        <f>45 * B424</f>
        <v/>
      </c>
    </row>
    <row r="425" ht="12.8" customHeight="1" s="26">
      <c r="A425" t="inlineStr">
        <is>
          <t>99234</t>
        </is>
      </c>
      <c r="B425" t="n">
        <v>0</v>
      </c>
      <c r="C425" t="inlineStr">
        <is>
          <t>Dětský čaj 30g(20x1,5g) ks</t>
        </is>
      </c>
      <c r="F425" t="inlineStr">
        <is>
          <t>8594056696086</t>
        </is>
      </c>
      <c r="G425" t="n">
        <v>40.18</v>
      </c>
      <c r="H425">
        <f>G425 * B425</f>
        <v/>
      </c>
      <c r="I425" t="n">
        <v>12</v>
      </c>
      <c r="J425">
        <f>45 * B425</f>
        <v/>
      </c>
    </row>
    <row r="426" ht="12.8" customHeight="1" s="26">
      <c r="A426" t="inlineStr">
        <is>
          <t>99235</t>
        </is>
      </c>
      <c r="B426" t="n">
        <v>0</v>
      </c>
      <c r="C426" t="inlineStr">
        <is>
          <t>Čaj na hubnutí 30g(20x1,5g) ks</t>
        </is>
      </c>
      <c r="F426" t="inlineStr">
        <is>
          <t>8594056696093</t>
        </is>
      </c>
      <c r="G426" t="n">
        <v>40.18</v>
      </c>
      <c r="H426">
        <f>G426 * B426</f>
        <v/>
      </c>
      <c r="I426" t="n">
        <v>12</v>
      </c>
      <c r="J426">
        <f>45 * B426</f>
        <v/>
      </c>
    </row>
    <row r="427" ht="12.8" customHeight="1" s="26">
      <c r="A427" t="inlineStr">
        <is>
          <t>99236</t>
        </is>
      </c>
      <c r="B427" t="n">
        <v>0</v>
      </c>
      <c r="C427" t="inlineStr">
        <is>
          <t>Játra a žlučník 30g(20x1,5g) ks</t>
        </is>
      </c>
      <c r="F427" t="inlineStr">
        <is>
          <t>8594056696185</t>
        </is>
      </c>
      <c r="G427" t="n">
        <v>40.18</v>
      </c>
      <c r="H427">
        <f>G427 * B427</f>
        <v/>
      </c>
      <c r="I427" t="n">
        <v>12</v>
      </c>
      <c r="J427">
        <f>45 * B427</f>
        <v/>
      </c>
    </row>
    <row r="428" ht="12.8" customHeight="1" s="26">
      <c r="A428" t="inlineStr">
        <is>
          <t>99252</t>
        </is>
      </c>
      <c r="B428" t="n">
        <v>0</v>
      </c>
      <c r="C428" t="inlineStr">
        <is>
          <t>Dětský fenyklový 30g(20x1,5g) ks</t>
        </is>
      </c>
      <c r="F428" t="inlineStr">
        <is>
          <t>8594056690763</t>
        </is>
      </c>
      <c r="G428" t="n">
        <v>40.18</v>
      </c>
      <c r="H428">
        <f>G428 * B428</f>
        <v/>
      </c>
      <c r="I428" t="n">
        <v>12</v>
      </c>
      <c r="J428">
        <f>45 * B428</f>
        <v/>
      </c>
    </row>
    <row r="429" ht="12.8" customHeight="1" s="26">
      <c r="A429" t="inlineStr">
        <is>
          <t>99253</t>
        </is>
      </c>
      <c r="B429" t="n">
        <v>0</v>
      </c>
      <c r="C429" t="inlineStr">
        <is>
          <t>Dětský heřmánkový 30g(20x1,5g) ks</t>
        </is>
      </c>
      <c r="F429" t="inlineStr">
        <is>
          <t>8594056690756</t>
        </is>
      </c>
      <c r="G429" t="n">
        <v>40.18</v>
      </c>
      <c r="H429">
        <f>G429 * B429</f>
        <v/>
      </c>
      <c r="I429" t="n">
        <v>12</v>
      </c>
      <c r="J429">
        <f>45 * B429</f>
        <v/>
      </c>
    </row>
    <row r="430" ht="12.8" customHeight="1" s="26">
      <c r="A430" t="inlineStr">
        <is>
          <t>99255</t>
        </is>
      </c>
      <c r="B430" t="n">
        <v>0</v>
      </c>
      <c r="C430" t="inlineStr">
        <is>
          <t>Eukalyptus citron &amp; med 30g(20x1,5g) ks</t>
        </is>
      </c>
      <c r="F430" t="inlineStr">
        <is>
          <t>8594056690404</t>
        </is>
      </c>
      <c r="G430" t="n">
        <v>40.18</v>
      </c>
      <c r="H430">
        <f>G430 * B430</f>
        <v/>
      </c>
      <c r="I430" t="n">
        <v>12</v>
      </c>
      <c r="J430">
        <f>45 * B430</f>
        <v/>
      </c>
    </row>
    <row r="431" ht="12.8" customHeight="1" s="26">
      <c r="A431" t="inlineStr">
        <is>
          <t>99257</t>
        </is>
      </c>
      <c r="B431" t="n">
        <v>0</v>
      </c>
      <c r="C431" t="inlineStr">
        <is>
          <t>Slinivkový se stevií 30g(20x1,5g) ks</t>
        </is>
      </c>
      <c r="F431" t="inlineStr">
        <is>
          <t>8594056690824</t>
        </is>
      </c>
      <c r="G431" t="n">
        <v>40.18</v>
      </c>
      <c r="H431">
        <f>G431 * B431</f>
        <v/>
      </c>
      <c r="I431" t="n">
        <v>12</v>
      </c>
      <c r="J431">
        <f>45 * B431</f>
        <v/>
      </c>
    </row>
    <row r="432" ht="12.8" customHeight="1" s="26">
      <c r="A432" s="48" t="inlineStr">
        <is>
          <t>Čaje porcované, Byliny zahraniční, nečaje, porcované</t>
        </is>
      </c>
      <c r="B432" s="48" t="inlineStr"/>
      <c r="C432" s="48" t="inlineStr"/>
      <c r="D432" s="48" t="inlineStr"/>
      <c r="E432" s="48" t="inlineStr"/>
      <c r="F432" s="48" t="inlineStr"/>
      <c r="G432" s="48" t="inlineStr"/>
      <c r="H432" s="48" t="inlineStr"/>
      <c r="I432" s="48" t="inlineStr"/>
      <c r="J432" s="48" t="inlineStr"/>
      <c r="K432" s="48" t="n"/>
    </row>
    <row r="433" ht="12.8" customHeight="1" s="26">
      <c r="A433" t="inlineStr">
        <is>
          <t>110004</t>
        </is>
      </c>
      <c r="B433" t="n">
        <v>0</v>
      </c>
      <c r="C433" t="inlineStr">
        <is>
          <t>Cannamil Konopný čaj 30g(20x1,5g) ks</t>
        </is>
      </c>
      <c r="F433" t="inlineStr">
        <is>
          <t>8594056691203</t>
        </is>
      </c>
      <c r="G433" t="n">
        <v>79.45999999999999</v>
      </c>
      <c r="H433">
        <f>G433 * B433</f>
        <v/>
      </c>
      <c r="I433" t="n">
        <v>12</v>
      </c>
      <c r="J433">
        <f>89 * B433</f>
        <v/>
      </c>
    </row>
    <row r="434" ht="12.8" customHeight="1" s="26">
      <c r="A434" t="inlineStr">
        <is>
          <t>99207</t>
        </is>
      </c>
      <c r="B434" t="n">
        <v>0</v>
      </c>
      <c r="C434" t="inlineStr">
        <is>
          <t>Rooibos fermentovaný 40g(20x2g) ks</t>
        </is>
      </c>
      <c r="F434" t="inlineStr">
        <is>
          <t>8594056695690</t>
        </is>
      </c>
      <c r="G434" t="n">
        <v>50</v>
      </c>
      <c r="H434">
        <f>G434 * B434</f>
        <v/>
      </c>
      <c r="I434" t="n">
        <v>12</v>
      </c>
      <c r="J434">
        <f>56 * B434</f>
        <v/>
      </c>
    </row>
    <row r="435" ht="12.8" customHeight="1" s="26">
      <c r="A435" t="inlineStr">
        <is>
          <t>99212</t>
        </is>
      </c>
      <c r="B435" t="n">
        <v>0</v>
      </c>
      <c r="C435" t="inlineStr">
        <is>
          <t>Mate green lemon 40g(20x2g) ks</t>
        </is>
      </c>
      <c r="F435" t="inlineStr">
        <is>
          <t>8594056695843</t>
        </is>
      </c>
      <c r="G435" t="n">
        <v>45.54</v>
      </c>
      <c r="H435">
        <f>G435 * B435</f>
        <v/>
      </c>
      <c r="I435" t="n">
        <v>12</v>
      </c>
      <c r="J435">
        <f>51 * B435</f>
        <v/>
      </c>
    </row>
    <row r="436" ht="12.8" customHeight="1" s="26">
      <c r="A436" t="inlineStr">
        <is>
          <t>99223</t>
        </is>
      </c>
      <c r="B436" t="n">
        <v>0</v>
      </c>
      <c r="C436" t="inlineStr">
        <is>
          <t>Rooibos lemon 40g(20x2g) ks</t>
        </is>
      </c>
      <c r="F436" t="inlineStr">
        <is>
          <t>8594056695966</t>
        </is>
      </c>
      <c r="G436" t="n">
        <v>50</v>
      </c>
      <c r="H436">
        <f>G436 * B436</f>
        <v/>
      </c>
      <c r="I436" t="n">
        <v>12</v>
      </c>
      <c r="J436">
        <f>56 * B436</f>
        <v/>
      </c>
    </row>
    <row r="437" ht="12.8" customHeight="1" s="26">
      <c r="A437" t="inlineStr">
        <is>
          <t>99269</t>
        </is>
      </c>
      <c r="B437" t="n">
        <v>0</v>
      </c>
      <c r="C437" t="inlineStr">
        <is>
          <t>Mate green (Yerba mate) 40g(20x2g) ks</t>
        </is>
      </c>
      <c r="F437" t="inlineStr">
        <is>
          <t>8594056694877</t>
        </is>
      </c>
      <c r="G437" t="n">
        <v>50.89</v>
      </c>
      <c r="H437">
        <f>G437 * B437</f>
        <v/>
      </c>
      <c r="I437" t="n">
        <v>12</v>
      </c>
      <c r="J437">
        <f>57 * B437</f>
        <v/>
      </c>
    </row>
    <row r="438" ht="12.8" customHeight="1" s="26">
      <c r="A438" t="inlineStr">
        <is>
          <t>99271</t>
        </is>
      </c>
      <c r="B438" t="n">
        <v>0</v>
      </c>
      <c r="C438" t="inlineStr">
        <is>
          <t>Mate roasted pražené (Yerba mate) 40g(20x2g) ks</t>
        </is>
      </c>
      <c r="F438" t="inlineStr">
        <is>
          <t>8594056694884</t>
        </is>
      </c>
      <c r="G438" t="n">
        <v>43.75</v>
      </c>
      <c r="H438">
        <f>G438 * B438</f>
        <v/>
      </c>
      <c r="I438" t="n">
        <v>12</v>
      </c>
      <c r="J438">
        <f>49 * B438</f>
        <v/>
      </c>
    </row>
    <row r="439" ht="12.8" customHeight="1" s="26">
      <c r="A439" t="inlineStr">
        <is>
          <t>99272</t>
        </is>
      </c>
      <c r="B439" t="n">
        <v>0</v>
      </c>
      <c r="C439" t="inlineStr">
        <is>
          <t>Rooibos green (Zelený) 40g(20x2g) ks</t>
        </is>
      </c>
      <c r="F439" t="inlineStr">
        <is>
          <t>8594056694891</t>
        </is>
      </c>
      <c r="G439" t="n">
        <v>46.43</v>
      </c>
      <c r="H439">
        <f>G439 * B439</f>
        <v/>
      </c>
      <c r="I439" t="n">
        <v>12</v>
      </c>
      <c r="J439">
        <f>52 * B439</f>
        <v/>
      </c>
    </row>
    <row r="440" ht="12.8" customHeight="1" s="26">
      <c r="A440" t="inlineStr">
        <is>
          <t>99273</t>
        </is>
      </c>
      <c r="B440" t="n">
        <v>0</v>
      </c>
      <c r="C440" t="inlineStr">
        <is>
          <t>Rooibos s mátou 40g(20x2g) ks</t>
        </is>
      </c>
      <c r="F440" t="inlineStr">
        <is>
          <t>8594056694488</t>
        </is>
      </c>
      <c r="G440" t="n">
        <v>50</v>
      </c>
      <c r="H440">
        <f>G440 * B440</f>
        <v/>
      </c>
      <c r="I440" t="n">
        <v>12</v>
      </c>
      <c r="J440">
        <f>56 * B440</f>
        <v/>
      </c>
    </row>
    <row r="441" ht="12.8" customHeight="1" s="26">
      <c r="A441" t="inlineStr">
        <is>
          <t>99291</t>
        </is>
      </c>
      <c r="B441" t="n">
        <v>0</v>
      </c>
      <c r="C441" t="inlineStr">
        <is>
          <t>Citronová tráva s citronem 30g(20x1,5g) ks</t>
        </is>
      </c>
      <c r="F441" t="inlineStr">
        <is>
          <t>8594056691180</t>
        </is>
      </c>
      <c r="G441" t="n">
        <v>34.82</v>
      </c>
      <c r="H441">
        <f>G441 * B441</f>
        <v/>
      </c>
      <c r="I441" t="n">
        <v>12</v>
      </c>
      <c r="J441">
        <f>39 * B441</f>
        <v/>
      </c>
    </row>
    <row r="442" ht="12.8" customHeight="1" s="26">
      <c r="A442" s="48" t="inlineStr">
        <is>
          <t>Čaje porcované, Byliny, koření jednodruhové porcované</t>
        </is>
      </c>
      <c r="B442" s="48" t="inlineStr"/>
      <c r="C442" s="48" t="inlineStr"/>
      <c r="D442" s="48" t="inlineStr"/>
      <c r="E442" s="48" t="inlineStr"/>
      <c r="F442" s="48" t="inlineStr"/>
      <c r="G442" s="48" t="inlineStr"/>
      <c r="H442" s="48" t="inlineStr"/>
      <c r="I442" s="48" t="inlineStr"/>
      <c r="J442" s="48" t="inlineStr"/>
      <c r="K442" s="48" t="n"/>
    </row>
    <row r="443" ht="12.8" customHeight="1" s="26">
      <c r="A443" t="inlineStr">
        <is>
          <t>92003</t>
        </is>
      </c>
      <c r="B443" t="n">
        <v>0</v>
      </c>
      <c r="C443" t="inlineStr">
        <is>
          <t>Mátové osvěžení 30g(20x1,5g) ks</t>
        </is>
      </c>
      <c r="F443" t="inlineStr">
        <is>
          <t>8594056690244</t>
        </is>
      </c>
      <c r="G443" t="n">
        <v>19.64</v>
      </c>
      <c r="H443">
        <f>G443 * B443</f>
        <v/>
      </c>
      <c r="I443" t="n">
        <v>12</v>
      </c>
      <c r="J443">
        <f>22 * B443</f>
        <v/>
      </c>
    </row>
    <row r="444" ht="12.8" customHeight="1" s="26">
      <c r="A444" t="inlineStr">
        <is>
          <t>99201</t>
        </is>
      </c>
      <c r="B444" t="n">
        <v>0</v>
      </c>
      <c r="C444" t="inlineStr">
        <is>
          <t>Heřmánkový čaj 30g(20x1,5g) ks</t>
        </is>
      </c>
      <c r="F444" t="inlineStr">
        <is>
          <t>8594056695638</t>
        </is>
      </c>
      <c r="G444" t="n">
        <v>33.93</v>
      </c>
      <c r="H444">
        <f>G444 * B444</f>
        <v/>
      </c>
      <c r="I444" t="n">
        <v>12</v>
      </c>
      <c r="J444">
        <f>38 * B444</f>
        <v/>
      </c>
    </row>
    <row r="445" ht="12.8" customHeight="1" s="26">
      <c r="A445" t="inlineStr">
        <is>
          <t>99202</t>
        </is>
      </c>
      <c r="B445" t="n">
        <v>0</v>
      </c>
      <c r="C445" t="inlineStr">
        <is>
          <t>Mátový čaj 30g(20x1,5g) ks</t>
        </is>
      </c>
      <c r="F445" t="inlineStr">
        <is>
          <t>8594056695645</t>
        </is>
      </c>
      <c r="G445" t="n">
        <v>33.93</v>
      </c>
      <c r="H445">
        <f>G445 * B445</f>
        <v/>
      </c>
      <c r="I445" t="n">
        <v>12</v>
      </c>
      <c r="J445">
        <f>38 * B445</f>
        <v/>
      </c>
    </row>
    <row r="446" ht="12.8" customHeight="1" s="26">
      <c r="A446" t="inlineStr">
        <is>
          <t>99211</t>
        </is>
      </c>
      <c r="B446" t="n">
        <v>0</v>
      </c>
      <c r="C446" t="inlineStr">
        <is>
          <t>Mateřídouška čaj 30g(20x1,5g) ks</t>
        </is>
      </c>
      <c r="F446" t="inlineStr">
        <is>
          <t>8594056690916</t>
        </is>
      </c>
      <c r="G446" t="n">
        <v>37.5</v>
      </c>
      <c r="H446">
        <f>G446 * B446</f>
        <v/>
      </c>
      <c r="I446" t="n">
        <v>12</v>
      </c>
      <c r="J446">
        <f>42 * B446</f>
        <v/>
      </c>
    </row>
    <row r="447" ht="12.8" customHeight="1" s="26">
      <c r="A447" t="inlineStr">
        <is>
          <t>99214</t>
        </is>
      </c>
      <c r="B447" t="n">
        <v>0</v>
      </c>
      <c r="C447" t="inlineStr">
        <is>
          <t>Šalvějový čaj 30g(20x1,5g) ks</t>
        </is>
      </c>
      <c r="F447" t="inlineStr">
        <is>
          <t>8594056695867</t>
        </is>
      </c>
      <c r="G447" t="n">
        <v>32.14</v>
      </c>
      <c r="H447">
        <f>G447 * B447</f>
        <v/>
      </c>
      <c r="I447" t="n">
        <v>12</v>
      </c>
      <c r="J447">
        <f>36 * B447</f>
        <v/>
      </c>
    </row>
    <row r="448" ht="12.8" customHeight="1" s="26">
      <c r="A448" t="inlineStr">
        <is>
          <t>99216</t>
        </is>
      </c>
      <c r="B448" t="n">
        <v>0</v>
      </c>
      <c r="C448" t="inlineStr">
        <is>
          <t>Meduňkový čaj 30g(20x1,5g) ks</t>
        </is>
      </c>
      <c r="F448" t="inlineStr">
        <is>
          <t>8594056695881</t>
        </is>
      </c>
      <c r="G448" t="n">
        <v>32.14</v>
      </c>
      <c r="H448">
        <f>G448 * B448</f>
        <v/>
      </c>
      <c r="I448" t="n">
        <v>12</v>
      </c>
      <c r="J448">
        <f>36 * B448</f>
        <v/>
      </c>
    </row>
    <row r="449" ht="12.8" customHeight="1" s="26">
      <c r="A449" t="inlineStr">
        <is>
          <t>99217</t>
        </is>
      </c>
      <c r="B449" t="n">
        <v>0</v>
      </c>
      <c r="C449" t="inlineStr">
        <is>
          <t>Lipový čaj 30g(20x1,5g) ks</t>
        </is>
      </c>
      <c r="F449" t="inlineStr">
        <is>
          <t>8594056695898</t>
        </is>
      </c>
      <c r="G449" t="n">
        <v>50.89</v>
      </c>
      <c r="H449">
        <f>G449 * B449</f>
        <v/>
      </c>
      <c r="I449" t="n">
        <v>12</v>
      </c>
      <c r="J449">
        <f>57 * B449</f>
        <v/>
      </c>
    </row>
    <row r="450" ht="12.8" customHeight="1" s="26">
      <c r="A450" t="inlineStr">
        <is>
          <t>99218</t>
        </is>
      </c>
      <c r="B450" t="n">
        <v>0</v>
      </c>
      <c r="C450" t="inlineStr">
        <is>
          <t>Kopřivový čaj 30g(20x1,5g) ks</t>
        </is>
      </c>
      <c r="F450" t="inlineStr">
        <is>
          <t>8594056695904</t>
        </is>
      </c>
      <c r="G450" t="n">
        <v>32.14</v>
      </c>
      <c r="H450">
        <f>G450 * B450</f>
        <v/>
      </c>
      <c r="I450" t="n">
        <v>12</v>
      </c>
      <c r="J450">
        <f>36 * B450</f>
        <v/>
      </c>
    </row>
    <row r="451" ht="12.8" customHeight="1" s="26">
      <c r="A451" t="inlineStr">
        <is>
          <t>99220</t>
        </is>
      </c>
      <c r="B451" t="n">
        <v>0</v>
      </c>
      <c r="C451" t="inlineStr">
        <is>
          <t>Jitrocelový čaj 30g(20x1,5g) ks</t>
        </is>
      </c>
      <c r="F451" t="inlineStr">
        <is>
          <t>8594056690886</t>
        </is>
      </c>
      <c r="G451" t="n">
        <v>34.82</v>
      </c>
      <c r="H451">
        <f>G451 * B451</f>
        <v/>
      </c>
      <c r="I451" t="n">
        <v>12</v>
      </c>
      <c r="J451">
        <f>39 * B451</f>
        <v/>
      </c>
    </row>
    <row r="452" ht="12.8" customHeight="1" s="26">
      <c r="A452" t="inlineStr">
        <is>
          <t>99221</t>
        </is>
      </c>
      <c r="B452" t="n">
        <v>0</v>
      </c>
      <c r="C452" t="inlineStr">
        <is>
          <t>Měsíček květ 30g(20x1,5g) ks</t>
        </is>
      </c>
      <c r="F452" t="inlineStr">
        <is>
          <t>8594056690923</t>
        </is>
      </c>
      <c r="G452" t="n">
        <v>31.25</v>
      </c>
      <c r="H452">
        <f>G452 * B452</f>
        <v/>
      </c>
      <c r="I452" t="n">
        <v>12</v>
      </c>
      <c r="J452">
        <f>35 * B452</f>
        <v/>
      </c>
    </row>
    <row r="453" ht="12.8" customHeight="1" s="26">
      <c r="A453" t="inlineStr">
        <is>
          <t>99222</t>
        </is>
      </c>
      <c r="B453" t="n">
        <v>0</v>
      </c>
      <c r="C453" t="inlineStr">
        <is>
          <t>Sléz maurský květ 20g(20x1g) ks</t>
        </is>
      </c>
      <c r="F453" t="inlineStr">
        <is>
          <t>8594056690930</t>
        </is>
      </c>
      <c r="G453" t="n">
        <v>44.64</v>
      </c>
      <c r="H453">
        <f>G453 * B453</f>
        <v/>
      </c>
      <c r="I453" t="n">
        <v>12</v>
      </c>
      <c r="J453">
        <f>50 * B453</f>
        <v/>
      </c>
    </row>
    <row r="454" ht="12.8" customHeight="1" s="26">
      <c r="A454" t="inlineStr">
        <is>
          <t>99247</t>
        </is>
      </c>
      <c r="B454" t="n">
        <v>0</v>
      </c>
      <c r="C454" t="inlineStr">
        <is>
          <t>Bezový čaj 30g(20x1,5g) ks</t>
        </is>
      </c>
      <c r="F454" t="inlineStr">
        <is>
          <t>8594056690282</t>
        </is>
      </c>
      <c r="G454" t="n">
        <v>41.07</v>
      </c>
      <c r="H454">
        <f>G454 * B454</f>
        <v/>
      </c>
      <c r="I454" t="n">
        <v>12</v>
      </c>
      <c r="J454">
        <f>46 * B454</f>
        <v/>
      </c>
    </row>
    <row r="455" ht="12.8" customHeight="1" s="26">
      <c r="A455" t="inlineStr">
        <is>
          <t>99248</t>
        </is>
      </c>
      <c r="B455" t="n">
        <v>0</v>
      </c>
      <c r="C455" t="inlineStr">
        <is>
          <t>Echinacea čaj 30g(20x1,5g) ks</t>
        </is>
      </c>
      <c r="F455" t="inlineStr">
        <is>
          <t>8594056690237</t>
        </is>
      </c>
      <c r="G455" t="n">
        <v>40.18</v>
      </c>
      <c r="H455">
        <f>G455 * B455</f>
        <v/>
      </c>
      <c r="I455" t="n">
        <v>12</v>
      </c>
      <c r="J455">
        <f>45 * B455</f>
        <v/>
      </c>
    </row>
    <row r="456" ht="12.8" customHeight="1" s="26">
      <c r="A456" t="inlineStr">
        <is>
          <t>99249</t>
        </is>
      </c>
      <c r="B456" t="n">
        <v>0</v>
      </c>
      <c r="C456" t="inlineStr">
        <is>
          <t>Kotvičník čaj 30g(20x1,5g) ks</t>
        </is>
      </c>
      <c r="F456" t="inlineStr">
        <is>
          <t>8594056690275</t>
        </is>
      </c>
      <c r="G456" t="n">
        <v>46.43</v>
      </c>
      <c r="H456">
        <f>G456 * B456</f>
        <v/>
      </c>
      <c r="I456" t="n">
        <v>12</v>
      </c>
      <c r="J456">
        <f>52 * B456</f>
        <v/>
      </c>
    </row>
    <row r="457" ht="12.8" customHeight="1" s="26">
      <c r="A457" t="inlineStr">
        <is>
          <t>99256</t>
        </is>
      </c>
      <c r="B457" t="n">
        <v>0</v>
      </c>
      <c r="C457" t="inlineStr">
        <is>
          <t>Stevík - stévie cukrová 30g(30x1g) ks</t>
        </is>
      </c>
      <c r="F457" t="inlineStr">
        <is>
          <t>8594056690800</t>
        </is>
      </c>
      <c r="G457" t="n">
        <v>38.39</v>
      </c>
      <c r="H457">
        <f>G457 * B457</f>
        <v/>
      </c>
      <c r="I457" t="n">
        <v>12</v>
      </c>
      <c r="J457">
        <f>43 * B457</f>
        <v/>
      </c>
    </row>
    <row r="458" ht="12.8" customHeight="1" s="26">
      <c r="A458" t="inlineStr">
        <is>
          <t>99258</t>
        </is>
      </c>
      <c r="B458" t="n">
        <v>0</v>
      </c>
      <c r="C458" t="inlineStr">
        <is>
          <t>Ostropestřec mariánský plod 50g(20x2,5g) ks</t>
        </is>
      </c>
      <c r="F458" t="inlineStr">
        <is>
          <t>8594056690831</t>
        </is>
      </c>
      <c r="G458" t="n">
        <v>40.18</v>
      </c>
      <c r="H458">
        <f>G458 * B458</f>
        <v/>
      </c>
      <c r="I458" t="n">
        <v>12</v>
      </c>
      <c r="J458">
        <f>45 * B458</f>
        <v/>
      </c>
    </row>
    <row r="459" ht="12.8" customHeight="1" s="26">
      <c r="A459" t="inlineStr">
        <is>
          <t>99259</t>
        </is>
      </c>
      <c r="B459" t="n">
        <v>0</v>
      </c>
      <c r="C459" t="inlineStr">
        <is>
          <t>Šípkový čaj 50g(20x2,5g) ks</t>
        </is>
      </c>
      <c r="F459" t="inlineStr">
        <is>
          <t>8594056690848</t>
        </is>
      </c>
      <c r="G459" t="n">
        <v>39.29</v>
      </c>
      <c r="H459">
        <f>G459 * B459</f>
        <v/>
      </c>
      <c r="I459" t="n">
        <v>12</v>
      </c>
      <c r="J459">
        <f>44 * B459</f>
        <v/>
      </c>
    </row>
    <row r="460" ht="12.8" customHeight="1" s="26">
      <c r="A460" t="inlineStr">
        <is>
          <t>99260</t>
        </is>
      </c>
      <c r="B460" t="n">
        <v>0</v>
      </c>
      <c r="C460" t="inlineStr">
        <is>
          <t>Přesličkový čaj 30g(20x1,5g) ks</t>
        </is>
      </c>
      <c r="F460" t="inlineStr">
        <is>
          <t>8594056690855</t>
        </is>
      </c>
      <c r="G460" t="n">
        <v>32.14</v>
      </c>
      <c r="H460">
        <f>G460 * B460</f>
        <v/>
      </c>
      <c r="I460" t="n">
        <v>12</v>
      </c>
      <c r="J460">
        <f>36 * B460</f>
        <v/>
      </c>
    </row>
    <row r="461" ht="12.8" customHeight="1" s="26">
      <c r="A461" t="inlineStr">
        <is>
          <t>99261</t>
        </is>
      </c>
      <c r="B461" t="n">
        <v>0</v>
      </c>
      <c r="C461" t="inlineStr">
        <is>
          <t>Třezalkový čaj 30g(20x1,5g) ks</t>
        </is>
      </c>
      <c r="F461" t="inlineStr">
        <is>
          <t>8594056690862</t>
        </is>
      </c>
      <c r="G461" t="n">
        <v>33.93</v>
      </c>
      <c r="H461">
        <f>G461 * B461</f>
        <v/>
      </c>
      <c r="I461" t="n">
        <v>12</v>
      </c>
      <c r="J461">
        <f>38 * B461</f>
        <v/>
      </c>
    </row>
    <row r="462" ht="12.8" customHeight="1" s="26">
      <c r="A462" t="inlineStr">
        <is>
          <t>99262</t>
        </is>
      </c>
      <c r="B462" t="n">
        <v>0</v>
      </c>
      <c r="C462" t="inlineStr">
        <is>
          <t>Vrbovkový čaj 30g(20x1,5g) ks</t>
        </is>
      </c>
      <c r="F462" t="inlineStr">
        <is>
          <t>8594056690879</t>
        </is>
      </c>
      <c r="G462" t="n">
        <v>34.82</v>
      </c>
      <c r="H462">
        <f>G462 * B462</f>
        <v/>
      </c>
      <c r="I462" t="n">
        <v>12</v>
      </c>
      <c r="J462">
        <f>39 * B462</f>
        <v/>
      </c>
    </row>
    <row r="463" ht="12.8" customHeight="1" s="26">
      <c r="A463" t="inlineStr">
        <is>
          <t>99263</t>
        </is>
      </c>
      <c r="B463" t="n">
        <v>0</v>
      </c>
      <c r="C463" t="inlineStr">
        <is>
          <t>Řepíkový čaj 30g(20x1,5g) ks</t>
        </is>
      </c>
      <c r="F463" t="inlineStr">
        <is>
          <t>8594056690893</t>
        </is>
      </c>
      <c r="G463" t="n">
        <v>32.14</v>
      </c>
      <c r="H463">
        <f>G463 * B463</f>
        <v/>
      </c>
      <c r="I463" t="n">
        <v>12</v>
      </c>
      <c r="J463">
        <f>36 * B463</f>
        <v/>
      </c>
    </row>
    <row r="464" ht="12.8" customHeight="1" s="26">
      <c r="A464" t="inlineStr">
        <is>
          <t>99264</t>
        </is>
      </c>
      <c r="B464" t="n">
        <v>0</v>
      </c>
      <c r="C464" t="inlineStr">
        <is>
          <t>Pohankový čaj 30g(20x1,5g) ks</t>
        </is>
      </c>
      <c r="F464" t="inlineStr">
        <is>
          <t>8594056690947</t>
        </is>
      </c>
      <c r="G464" t="n">
        <v>39.29</v>
      </c>
      <c r="H464">
        <f>G464 * B464</f>
        <v/>
      </c>
      <c r="I464" t="n">
        <v>12</v>
      </c>
      <c r="J464">
        <f>44 * B464</f>
        <v/>
      </c>
    </row>
    <row r="465" ht="12.8" customHeight="1" s="26">
      <c r="A465" t="inlineStr">
        <is>
          <t>99265</t>
        </is>
      </c>
      <c r="B465" t="n">
        <v>0</v>
      </c>
      <c r="C465" t="inlineStr">
        <is>
          <t>Kontryhelový čaj 30g(20x1,5g) ks</t>
        </is>
      </c>
      <c r="F465" t="inlineStr">
        <is>
          <t>8594056690909</t>
        </is>
      </c>
      <c r="G465" t="n">
        <v>34.82</v>
      </c>
      <c r="H465">
        <f>G465 * B465</f>
        <v/>
      </c>
      <c r="I465" t="n">
        <v>12</v>
      </c>
      <c r="J465">
        <f>39 * B465</f>
        <v/>
      </c>
    </row>
    <row r="466" ht="12.8" customHeight="1" s="26">
      <c r="A466" t="inlineStr">
        <is>
          <t>99267</t>
        </is>
      </c>
      <c r="B466" t="n">
        <v>0</v>
      </c>
      <c r="C466" t="inlineStr">
        <is>
          <t>Ibišek súdánský Karkade 50g(20x2,5g) ks</t>
        </is>
      </c>
      <c r="F466" t="inlineStr">
        <is>
          <t>8594056694815</t>
        </is>
      </c>
      <c r="G466" t="n">
        <v>49.11</v>
      </c>
      <c r="H466">
        <f>G466 * B466</f>
        <v/>
      </c>
      <c r="I466" t="n">
        <v>12</v>
      </c>
      <c r="J466">
        <f>55 * B466</f>
        <v/>
      </c>
    </row>
    <row r="467" ht="12.8" customHeight="1" s="26">
      <c r="A467" t="inlineStr">
        <is>
          <t>99268</t>
        </is>
      </c>
      <c r="B467" t="n">
        <v>0</v>
      </c>
      <c r="C467" t="inlineStr">
        <is>
          <t>Jinan list Ginkgo 30g(20x1,5g) ks</t>
        </is>
      </c>
      <c r="F467" t="inlineStr">
        <is>
          <t>8594056694822</t>
        </is>
      </c>
      <c r="G467" t="n">
        <v>41.07</v>
      </c>
      <c r="H467">
        <f>G467 * B467</f>
        <v/>
      </c>
      <c r="I467" t="n">
        <v>12</v>
      </c>
      <c r="J467">
        <f>46 * B467</f>
        <v/>
      </c>
    </row>
    <row r="468" ht="12.8" customHeight="1" s="26">
      <c r="A468" t="inlineStr">
        <is>
          <t>99270</t>
        </is>
      </c>
      <c r="B468" t="n">
        <v>0</v>
      </c>
      <c r="C468" t="inlineStr">
        <is>
          <t>Maliník list 30g(20x1,5g) ks</t>
        </is>
      </c>
      <c r="F468" t="inlineStr">
        <is>
          <t>8594056694853</t>
        </is>
      </c>
      <c r="G468" t="n">
        <v>34.82</v>
      </c>
      <c r="H468">
        <f>G468 * B468</f>
        <v/>
      </c>
      <c r="I468" t="n">
        <v>12</v>
      </c>
      <c r="J468">
        <f>39 * B468</f>
        <v/>
      </c>
    </row>
    <row r="469" ht="12.8" customHeight="1" s="26">
      <c r="A469" t="inlineStr">
        <is>
          <t>99274</t>
        </is>
      </c>
      <c r="B469" t="n">
        <v>0</v>
      </c>
      <c r="C469" t="inlineStr">
        <is>
          <t>Celík zlatobýl nať 30g(20x1,5g) ks</t>
        </is>
      </c>
      <c r="F469" t="inlineStr">
        <is>
          <t>8594056690602</t>
        </is>
      </c>
      <c r="G469" t="n">
        <v>33.93</v>
      </c>
      <c r="H469">
        <f>G469 * B469</f>
        <v/>
      </c>
      <c r="I469" t="n">
        <v>12</v>
      </c>
      <c r="J469">
        <f>38 * B469</f>
        <v/>
      </c>
    </row>
    <row r="470" ht="12.8" customHeight="1" s="26">
      <c r="A470" t="inlineStr">
        <is>
          <t>99275</t>
        </is>
      </c>
      <c r="B470" t="n">
        <v>0</v>
      </c>
      <c r="C470" t="inlineStr">
        <is>
          <t>Smetánka kořen s listem 40g(20x2g) ks</t>
        </is>
      </c>
      <c r="F470" t="inlineStr">
        <is>
          <t>8594056690619</t>
        </is>
      </c>
      <c r="G470" t="n">
        <v>42.86</v>
      </c>
      <c r="H470">
        <f>G470 * B470</f>
        <v/>
      </c>
      <c r="I470" t="n">
        <v>12</v>
      </c>
      <c r="J470">
        <f>48 * B470</f>
        <v/>
      </c>
    </row>
    <row r="471" ht="12.8" customHeight="1" s="26">
      <c r="A471" t="inlineStr">
        <is>
          <t>99276</t>
        </is>
      </c>
      <c r="B471" t="n">
        <v>0</v>
      </c>
      <c r="C471" t="inlineStr">
        <is>
          <t>Senna list 30g(20x1,5g) ks</t>
        </is>
      </c>
      <c r="F471" t="inlineStr">
        <is>
          <t>8594056690626</t>
        </is>
      </c>
      <c r="G471" t="n">
        <v>34.82</v>
      </c>
      <c r="H471">
        <f>G471 * B471</f>
        <v/>
      </c>
      <c r="I471" t="n">
        <v>12</v>
      </c>
      <c r="J471">
        <f>39 * B471</f>
        <v/>
      </c>
    </row>
    <row r="472" ht="12.8" customHeight="1" s="26">
      <c r="A472" t="inlineStr">
        <is>
          <t>99277</t>
        </is>
      </c>
      <c r="B472" t="n">
        <v>0</v>
      </c>
      <c r="C472" t="inlineStr">
        <is>
          <t>Fenykl plod 40g(20x2g) ks</t>
        </is>
      </c>
      <c r="F472" t="inlineStr">
        <is>
          <t>8594056690633</t>
        </is>
      </c>
      <c r="G472" t="n">
        <v>36.61</v>
      </c>
      <c r="H472">
        <f>G472 * B472</f>
        <v/>
      </c>
      <c r="I472" t="n">
        <v>12</v>
      </c>
      <c r="J472">
        <f>41 * B472</f>
        <v/>
      </c>
    </row>
    <row r="473" ht="12.8" customHeight="1" s="26">
      <c r="A473" t="inlineStr">
        <is>
          <t>99278</t>
        </is>
      </c>
      <c r="B473" t="n">
        <v>0</v>
      </c>
      <c r="C473" t="inlineStr">
        <is>
          <t>Řebříček květ 30g(20x1,5g) ks</t>
        </is>
      </c>
      <c r="F473" t="inlineStr">
        <is>
          <t>8594056690640</t>
        </is>
      </c>
      <c r="G473" t="n">
        <v>31.25</v>
      </c>
      <c r="H473">
        <f>G473 * B473</f>
        <v/>
      </c>
      <c r="I473" t="n">
        <v>12</v>
      </c>
      <c r="J473">
        <f>35 * B473</f>
        <v/>
      </c>
    </row>
    <row r="474" ht="12.8" customHeight="1" s="26">
      <c r="A474" t="inlineStr">
        <is>
          <t>99279</t>
        </is>
      </c>
      <c r="B474" t="n">
        <v>0</v>
      </c>
      <c r="C474" t="inlineStr">
        <is>
          <t>Levandule pravá květ celý 30g(20x1,5g) LEAF ks</t>
        </is>
      </c>
      <c r="F474" t="inlineStr">
        <is>
          <t>8594056690657</t>
        </is>
      </c>
      <c r="G474" t="n">
        <v>41.07</v>
      </c>
      <c r="H474">
        <f>G474 * B474</f>
        <v/>
      </c>
      <c r="I474" t="n">
        <v>12</v>
      </c>
      <c r="J474">
        <f>46 * B474</f>
        <v/>
      </c>
    </row>
    <row r="475" ht="12.8" customHeight="1" s="26">
      <c r="A475" s="49" t="inlineStr">
        <is>
          <t>99280</t>
        </is>
      </c>
      <c r="B475" s="49" t="inlineStr">
        <is>
          <t>-</t>
        </is>
      </c>
      <c r="C475" s="49" t="inlineStr">
        <is>
          <t>Jetel červený květ 30g(20x1,5g) ks</t>
        </is>
      </c>
      <c r="D475" s="49" t="n"/>
      <c r="E475" s="49" t="n"/>
      <c r="F475" s="49" t="inlineStr">
        <is>
          <t>8594056690664</t>
        </is>
      </c>
      <c r="G475" s="49" t="n">
        <v>40.18</v>
      </c>
      <c r="H475" s="49" t="n"/>
      <c r="I475" s="49" t="n">
        <v>12</v>
      </c>
      <c r="J475" s="49" t="n"/>
      <c r="K475" s="49" t="n"/>
    </row>
    <row r="476" ht="12.8" customHeight="1" s="26">
      <c r="A476" t="inlineStr">
        <is>
          <t>99281</t>
        </is>
      </c>
      <c r="B476" t="n">
        <v>0</v>
      </c>
      <c r="C476" t="inlineStr">
        <is>
          <t>Divizna květ řezaný 30g(20x1,5g) ks</t>
        </is>
      </c>
      <c r="F476" t="inlineStr">
        <is>
          <t>8594056690671</t>
        </is>
      </c>
      <c r="G476" t="n">
        <v>43.75</v>
      </c>
      <c r="H476">
        <f>G476 * B476</f>
        <v/>
      </c>
      <c r="I476" t="n">
        <v>12</v>
      </c>
      <c r="J476">
        <f>49 * B476</f>
        <v/>
      </c>
    </row>
    <row r="477" ht="12.8" customHeight="1" s="26">
      <c r="A477" s="49" t="inlineStr">
        <is>
          <t>99282</t>
        </is>
      </c>
      <c r="B477" s="49" t="inlineStr">
        <is>
          <t>-</t>
        </is>
      </c>
      <c r="C477" s="49" t="inlineStr">
        <is>
          <t>Hloh list s květem 30g(20x1,5g) ks</t>
        </is>
      </c>
      <c r="D477" s="49" t="n"/>
      <c r="E477" s="49" t="n"/>
      <c r="F477" s="49" t="inlineStr">
        <is>
          <t>8594056690688</t>
        </is>
      </c>
      <c r="G477" s="49" t="n">
        <v>33.04</v>
      </c>
      <c r="H477" s="49" t="n"/>
      <c r="I477" s="49" t="n">
        <v>12</v>
      </c>
      <c r="J477" s="49" t="n"/>
      <c r="K477" s="49" t="n"/>
    </row>
    <row r="478" ht="12.8" customHeight="1" s="26">
      <c r="A478" t="inlineStr">
        <is>
          <t>99283</t>
        </is>
      </c>
      <c r="B478" t="n">
        <v>0</v>
      </c>
      <c r="C478" t="inlineStr">
        <is>
          <t>Borůvka list s plodem 30g(20x1,5g) ks</t>
        </is>
      </c>
      <c r="F478" t="inlineStr">
        <is>
          <t>8594056690695</t>
        </is>
      </c>
      <c r="G478" t="n">
        <v>36.61</v>
      </c>
      <c r="H478">
        <f>G478 * B478</f>
        <v/>
      </c>
      <c r="I478" t="n">
        <v>12</v>
      </c>
      <c r="J478">
        <f>41 * B478</f>
        <v/>
      </c>
    </row>
    <row r="479" ht="12.8" customHeight="1" s="26">
      <c r="A479" s="49" t="inlineStr">
        <is>
          <t>99284</t>
        </is>
      </c>
      <c r="B479" s="49" t="inlineStr">
        <is>
          <t>-</t>
        </is>
      </c>
      <c r="C479" s="49" t="inlineStr">
        <is>
          <t>Světlík kvetucí nať 30g(20x1,5g) ks</t>
        </is>
      </c>
      <c r="D479" s="49" t="n"/>
      <c r="E479" s="49" t="n"/>
      <c r="F479" s="49" t="inlineStr">
        <is>
          <t>8594056690701</t>
        </is>
      </c>
      <c r="G479" s="49" t="n">
        <v>37.5</v>
      </c>
      <c r="H479" s="49" t="n"/>
      <c r="I479" s="49" t="n">
        <v>12</v>
      </c>
      <c r="J479" s="49" t="n"/>
      <c r="K479" s="49" t="n"/>
    </row>
    <row r="480" ht="12.8" customHeight="1" s="26">
      <c r="A480" t="inlineStr">
        <is>
          <t>99285</t>
        </is>
      </c>
      <c r="B480" t="n">
        <v>0</v>
      </c>
      <c r="C480" t="inlineStr">
        <is>
          <t>Brusinka list s plodem 30g(20x1,5g) ks</t>
        </is>
      </c>
      <c r="F480" t="inlineStr">
        <is>
          <t>8594056690732</t>
        </is>
      </c>
      <c r="G480" t="n">
        <v>39.29</v>
      </c>
      <c r="H480">
        <f>G480 * B480</f>
        <v/>
      </c>
      <c r="I480" t="n">
        <v>12</v>
      </c>
      <c r="J480">
        <f>44 * B480</f>
        <v/>
      </c>
    </row>
    <row r="481" ht="12.8" customHeight="1" s="26">
      <c r="A481" t="inlineStr">
        <is>
          <t>99286</t>
        </is>
      </c>
      <c r="B481" t="n">
        <v>0</v>
      </c>
      <c r="C481" t="inlineStr">
        <is>
          <t>Rakytník celý nedrcený plod 50g(20x2,5g) LEAF ks</t>
        </is>
      </c>
      <c r="F481" t="inlineStr">
        <is>
          <t>8594056690749</t>
        </is>
      </c>
      <c r="G481" t="n">
        <v>64.29000000000001</v>
      </c>
      <c r="H481">
        <f>G481 * B481</f>
        <v/>
      </c>
      <c r="I481" t="n">
        <v>12</v>
      </c>
      <c r="J481">
        <f>72 * B481</f>
        <v/>
      </c>
    </row>
    <row r="482" ht="12.8" customHeight="1" s="26">
      <c r="A482" t="inlineStr">
        <is>
          <t>99287</t>
        </is>
      </c>
      <c r="B482" t="n">
        <v>0</v>
      </c>
      <c r="C482" t="inlineStr">
        <is>
          <t>Kozlík (Valerian) kořen 40g(20x2g) ks</t>
        </is>
      </c>
      <c r="F482" t="inlineStr">
        <is>
          <t>8594056690770</t>
        </is>
      </c>
      <c r="G482" t="n">
        <v>41.07</v>
      </c>
      <c r="H482">
        <f>G482 * B482</f>
        <v/>
      </c>
      <c r="I482" t="n">
        <v>12</v>
      </c>
      <c r="J482">
        <f>46 * B482</f>
        <v/>
      </c>
    </row>
    <row r="483" ht="12.8" customHeight="1" s="26">
      <c r="A483" t="inlineStr">
        <is>
          <t>99288</t>
        </is>
      </c>
      <c r="B483" t="n">
        <v>0</v>
      </c>
      <c r="C483" t="inlineStr">
        <is>
          <t>Zázvor pravý oddenek 40g(20x2g) ks</t>
        </is>
      </c>
      <c r="F483" t="inlineStr">
        <is>
          <t>8594056690992</t>
        </is>
      </c>
      <c r="G483" t="n">
        <v>37.5</v>
      </c>
      <c r="H483">
        <f>G483 * B483</f>
        <v/>
      </c>
      <c r="I483" t="n">
        <v>12</v>
      </c>
      <c r="J483">
        <f>42 * B483</f>
        <v/>
      </c>
    </row>
    <row r="484" ht="12.8" customHeight="1" s="26">
      <c r="A484" t="inlineStr">
        <is>
          <t>99289</t>
        </is>
      </c>
      <c r="B484" t="n">
        <v>0</v>
      </c>
      <c r="C484" t="inlineStr">
        <is>
          <t>Tymián čaj 30g(20x1,5g) ks</t>
        </is>
      </c>
      <c r="F484" t="inlineStr">
        <is>
          <t>8594056691166</t>
        </is>
      </c>
      <c r="G484" t="n">
        <v>37.5</v>
      </c>
      <c r="H484">
        <f>G484 * B484</f>
        <v/>
      </c>
      <c r="I484" t="n">
        <v>12</v>
      </c>
      <c r="J484">
        <f>42 * B484</f>
        <v/>
      </c>
    </row>
    <row r="485" ht="12.8" customHeight="1" s="26">
      <c r="A485" t="inlineStr">
        <is>
          <t>99290</t>
        </is>
      </c>
      <c r="B485" t="n">
        <v>0</v>
      </c>
      <c r="C485" t="inlineStr">
        <is>
          <t>Chmel šištice 20g(20x1g) ks</t>
        </is>
      </c>
      <c r="F485" t="inlineStr">
        <is>
          <t>8594056691173</t>
        </is>
      </c>
      <c r="G485" t="n">
        <v>34.82</v>
      </c>
      <c r="H485">
        <f>G485 * B485</f>
        <v/>
      </c>
      <c r="I485" t="n">
        <v>12</v>
      </c>
      <c r="J485">
        <f>39 * B485</f>
        <v/>
      </c>
    </row>
    <row r="486" ht="12.8" customHeight="1" s="26">
      <c r="A486" t="inlineStr">
        <is>
          <t>99293</t>
        </is>
      </c>
      <c r="B486" t="n">
        <v>0</v>
      </c>
      <c r="C486" t="inlineStr">
        <is>
          <t>Moringa oleifera list 30g(20x1,5g) ks</t>
        </is>
      </c>
      <c r="F486" t="inlineStr">
        <is>
          <t>8594056691005</t>
        </is>
      </c>
      <c r="G486" t="n">
        <v>88.39</v>
      </c>
      <c r="H486">
        <f>G486 * B486</f>
        <v/>
      </c>
      <c r="I486" t="n">
        <v>12</v>
      </c>
      <c r="J486">
        <f>99 * B486</f>
        <v/>
      </c>
    </row>
    <row r="487" ht="12.8" customHeight="1" s="26">
      <c r="A487" t="inlineStr">
        <is>
          <t>99294</t>
        </is>
      </c>
      <c r="B487" t="n">
        <v>0</v>
      </c>
      <c r="C487" t="inlineStr">
        <is>
          <t>Vilcacora kůra 30g(20x1,5g) ks</t>
        </is>
      </c>
      <c r="F487" t="inlineStr">
        <is>
          <t>8594056691142</t>
        </is>
      </c>
      <c r="G487" t="n">
        <v>51.79</v>
      </c>
      <c r="H487">
        <f>G487 * B487</f>
        <v/>
      </c>
      <c r="I487" t="n">
        <v>12</v>
      </c>
      <c r="J487">
        <f>58 * B487</f>
        <v/>
      </c>
    </row>
    <row r="488" ht="12.8" customHeight="1" s="26">
      <c r="A488" t="inlineStr">
        <is>
          <t>99295</t>
        </is>
      </c>
      <c r="B488" t="n">
        <v>0</v>
      </c>
      <c r="C488" t="inlineStr">
        <is>
          <t>Lapacho kůra 30g(20x1,5g) ks</t>
        </is>
      </c>
      <c r="F488" t="inlineStr">
        <is>
          <t>8594056691159</t>
        </is>
      </c>
      <c r="G488" t="n">
        <v>34.82</v>
      </c>
      <c r="H488">
        <f>G488 * B488</f>
        <v/>
      </c>
      <c r="I488" t="n">
        <v>12</v>
      </c>
      <c r="J488">
        <f>39 * B488</f>
        <v/>
      </c>
    </row>
    <row r="489" ht="12.8" customHeight="1" s="26">
      <c r="A489" t="inlineStr">
        <is>
          <t>99296</t>
        </is>
      </c>
      <c r="B489" t="n">
        <v>0</v>
      </c>
      <c r="C489" t="inlineStr">
        <is>
          <t>Puškvorec oddenek 30g(20x1,5g) ks</t>
        </is>
      </c>
      <c r="F489" t="inlineStr">
        <is>
          <t>8594056691210</t>
        </is>
      </c>
      <c r="G489" t="n">
        <v>38.39</v>
      </c>
      <c r="H489">
        <f>G489 * B489</f>
        <v/>
      </c>
      <c r="I489" t="n">
        <v>12</v>
      </c>
      <c r="J489">
        <f>43 * B489</f>
        <v/>
      </c>
    </row>
    <row r="490" ht="12.8" customHeight="1" s="26">
      <c r="A490" t="inlineStr">
        <is>
          <t>99297</t>
        </is>
      </c>
      <c r="B490" t="n">
        <v>0</v>
      </c>
      <c r="C490" t="inlineStr">
        <is>
          <t>Marocká máta-nana 30g(20x1,5g) ks</t>
        </is>
      </c>
      <c r="F490" t="inlineStr">
        <is>
          <t>8594056691227</t>
        </is>
      </c>
      <c r="G490" t="n">
        <v>38.39</v>
      </c>
      <c r="H490">
        <f>G490 * B490</f>
        <v/>
      </c>
      <c r="I490" t="n">
        <v>12</v>
      </c>
      <c r="J490">
        <f>43 * B490</f>
        <v/>
      </c>
    </row>
    <row r="491" ht="12.8" customHeight="1" s="26">
      <c r="A491" s="48" t="inlineStr">
        <is>
          <t>Čaje porcované, Ovocné čaje porcované</t>
        </is>
      </c>
      <c r="B491" s="48" t="inlineStr"/>
      <c r="C491" s="48" t="inlineStr"/>
      <c r="D491" s="48" t="inlineStr"/>
      <c r="E491" s="48" t="inlineStr"/>
      <c r="F491" s="48" t="inlineStr"/>
      <c r="G491" s="48" t="inlineStr"/>
      <c r="H491" s="48" t="inlineStr"/>
      <c r="I491" s="48" t="inlineStr"/>
      <c r="J491" s="48" t="inlineStr"/>
      <c r="K491" s="48" t="n"/>
    </row>
    <row r="492" ht="12.8" customHeight="1" s="26">
      <c r="A492" s="49" t="inlineStr">
        <is>
          <t>92004</t>
        </is>
      </c>
      <c r="B492" s="49" t="inlineStr">
        <is>
          <t>-</t>
        </is>
      </c>
      <c r="C492" s="49" t="inlineStr">
        <is>
          <t>Ovocný dýchánek 40g(20x2,0g) ks</t>
        </is>
      </c>
      <c r="D492" s="49" t="n"/>
      <c r="E492" s="49" t="n"/>
      <c r="F492" s="49" t="inlineStr">
        <is>
          <t>8594056690268</t>
        </is>
      </c>
      <c r="G492" s="49" t="n">
        <v>24.11</v>
      </c>
      <c r="H492" s="49" t="n"/>
      <c r="I492" s="49" t="n">
        <v>12</v>
      </c>
      <c r="J492" s="49" t="n"/>
      <c r="K492" s="49" t="n"/>
    </row>
    <row r="493" ht="12.8" customHeight="1" s="26">
      <c r="A493" t="inlineStr">
        <is>
          <t>99238</t>
        </is>
      </c>
      <c r="B493" t="n">
        <v>0</v>
      </c>
      <c r="C493" t="inlineStr">
        <is>
          <t>Lesní ovoce s echinaceou 40g(20x2g) ks</t>
        </is>
      </c>
      <c r="F493" t="inlineStr">
        <is>
          <t>8594056696208</t>
        </is>
      </c>
      <c r="G493" t="n">
        <v>47.32</v>
      </c>
      <c r="H493">
        <f>G493 * B493</f>
        <v/>
      </c>
      <c r="I493" t="n">
        <v>12</v>
      </c>
      <c r="J493">
        <f>53 * B493</f>
        <v/>
      </c>
    </row>
    <row r="494" ht="12.8" customHeight="1" s="26">
      <c r="A494" t="inlineStr">
        <is>
          <t>99239</t>
        </is>
      </c>
      <c r="B494" t="n">
        <v>0</v>
      </c>
      <c r="C494" t="inlineStr">
        <is>
          <t>Borůvka s ginkgem a ženšenem 40g(20x2g) ks</t>
        </is>
      </c>
      <c r="F494" t="inlineStr">
        <is>
          <t>8594056696215</t>
        </is>
      </c>
      <c r="G494" t="n">
        <v>47.32</v>
      </c>
      <c r="H494">
        <f>G494 * B494</f>
        <v/>
      </c>
      <c r="I494" t="n">
        <v>12</v>
      </c>
      <c r="J494">
        <f>53 * B494</f>
        <v/>
      </c>
    </row>
    <row r="495" ht="12.8" customHeight="1" s="26">
      <c r="A495" t="inlineStr">
        <is>
          <t>99240</t>
        </is>
      </c>
      <c r="B495" t="n">
        <v>0</v>
      </c>
      <c r="C495" t="inlineStr">
        <is>
          <t>Ovocná zahrada s lípou a bezem 40g(20x2g) ks</t>
        </is>
      </c>
      <c r="F495" t="inlineStr">
        <is>
          <t>8594056696222</t>
        </is>
      </c>
      <c r="G495" t="n">
        <v>47.32</v>
      </c>
      <c r="H495">
        <f>G495 * B495</f>
        <v/>
      </c>
      <c r="I495" t="n">
        <v>12</v>
      </c>
      <c r="J495">
        <f>53 * B495</f>
        <v/>
      </c>
    </row>
    <row r="496" ht="12.8" customHeight="1" s="26">
      <c r="A496" t="inlineStr">
        <is>
          <t>99241</t>
        </is>
      </c>
      <c r="B496" t="n">
        <v>0</v>
      </c>
      <c r="C496" t="inlineStr">
        <is>
          <t>Tropické ovoce s citronem 40g(20x2g) ks</t>
        </is>
      </c>
      <c r="F496" t="inlineStr">
        <is>
          <t>8594056696239</t>
        </is>
      </c>
      <c r="G496" t="n">
        <v>47.32</v>
      </c>
      <c r="H496">
        <f>G496 * B496</f>
        <v/>
      </c>
      <c r="I496" t="n">
        <v>12</v>
      </c>
      <c r="J496">
        <f>53 * B496</f>
        <v/>
      </c>
    </row>
    <row r="497" ht="12.8" customHeight="1" s="26">
      <c r="A497" t="inlineStr">
        <is>
          <t>99242</t>
        </is>
      </c>
      <c r="B497" t="n">
        <v>0</v>
      </c>
      <c r="C497" t="inlineStr">
        <is>
          <t>Dětský ovocný se šípkem 40g(20x2g) bez aromat, bez ibišku ks</t>
        </is>
      </c>
      <c r="F497" t="inlineStr">
        <is>
          <t>8594056690305</t>
        </is>
      </c>
      <c r="G497" t="n">
        <v>42.86</v>
      </c>
      <c r="H497">
        <f>G497 * B497</f>
        <v/>
      </c>
      <c r="I497" t="n">
        <v>12</v>
      </c>
      <c r="J497">
        <f>48 * B497</f>
        <v/>
      </c>
    </row>
    <row r="498" ht="12.8" customHeight="1" s="26">
      <c r="A498" t="inlineStr">
        <is>
          <t>99243</t>
        </is>
      </c>
      <c r="B498" t="n">
        <v>0</v>
      </c>
      <c r="C498" t="inlineStr">
        <is>
          <t>Dětský ovocný s heřmánkem 40g(20x2g) bez aromat, bez ibišku ks</t>
        </is>
      </c>
      <c r="F498" t="inlineStr">
        <is>
          <t>8594056690312</t>
        </is>
      </c>
      <c r="G498" t="n">
        <v>42.86</v>
      </c>
      <c r="H498">
        <f>G498 * B498</f>
        <v/>
      </c>
      <c r="I498" t="n">
        <v>12</v>
      </c>
      <c r="J498">
        <f>48 * B498</f>
        <v/>
      </c>
    </row>
    <row r="499" ht="12.8" customHeight="1" s="26">
      <c r="A499" t="inlineStr">
        <is>
          <t>99244</t>
        </is>
      </c>
      <c r="B499" t="n">
        <v>0</v>
      </c>
      <c r="C499" t="inlineStr">
        <is>
          <t>Dětský ovocný s lípou 40g(20x2g) bez aromat, bez ibišku ks</t>
        </is>
      </c>
      <c r="F499" t="inlineStr">
        <is>
          <t>8594056690329</t>
        </is>
      </c>
      <c r="G499" t="n">
        <v>42.86</v>
      </c>
      <c r="H499">
        <f>G499 * B499</f>
        <v/>
      </c>
      <c r="I499" t="n">
        <v>12</v>
      </c>
      <c r="J499">
        <f>48 * B499</f>
        <v/>
      </c>
    </row>
    <row r="500" ht="12.8" customHeight="1" s="26">
      <c r="A500" t="inlineStr">
        <is>
          <t>99245</t>
        </is>
      </c>
      <c r="B500" t="n">
        <v>0</v>
      </c>
      <c r="C500" t="inlineStr">
        <is>
          <t>Dětský ovocný uklidňující 40g(20x2g) bez aromat, bez ibišku ks</t>
        </is>
      </c>
      <c r="F500" t="inlineStr">
        <is>
          <t>8594056690718</t>
        </is>
      </c>
      <c r="G500" t="n">
        <v>42.86</v>
      </c>
      <c r="H500">
        <f>G500 * B500</f>
        <v/>
      </c>
      <c r="I500" t="n">
        <v>12</v>
      </c>
      <c r="J500">
        <f>48 * B500</f>
        <v/>
      </c>
    </row>
    <row r="501" ht="12.8" customHeight="1" s="26">
      <c r="A501" t="inlineStr">
        <is>
          <t>99246</t>
        </is>
      </c>
      <c r="B501" t="n">
        <v>0</v>
      </c>
      <c r="C501" t="inlineStr">
        <is>
          <t>Ginger tea prohřívající 40g(20x2g) ks</t>
        </is>
      </c>
      <c r="F501" t="inlineStr">
        <is>
          <t>8594056690817</t>
        </is>
      </c>
      <c r="G501" t="n">
        <v>47.32</v>
      </c>
      <c r="H501">
        <f>G501 * B501</f>
        <v/>
      </c>
      <c r="I501" t="n">
        <v>12</v>
      </c>
      <c r="J501">
        <f>53 * B501</f>
        <v/>
      </c>
    </row>
    <row r="502" ht="12.8" customHeight="1" s="26">
      <c r="A502" t="inlineStr">
        <is>
          <t>99250</t>
        </is>
      </c>
      <c r="B502" t="n">
        <v>0</v>
      </c>
      <c r="C502" t="inlineStr">
        <is>
          <t>Dětský borůvkový aromatizovaný 40g(20x2g) ks</t>
        </is>
      </c>
      <c r="F502" t="inlineStr">
        <is>
          <t>8594056690787</t>
        </is>
      </c>
      <c r="G502" t="n">
        <v>47.32</v>
      </c>
      <c r="H502">
        <f>G502 * B502</f>
        <v/>
      </c>
      <c r="I502" t="n">
        <v>12</v>
      </c>
      <c r="J502">
        <f>53 * B502</f>
        <v/>
      </c>
    </row>
    <row r="503" ht="12.8" customHeight="1" s="26">
      <c r="A503" t="inlineStr">
        <is>
          <t>99251</t>
        </is>
      </c>
      <c r="B503" t="n">
        <v>0</v>
      </c>
      <c r="C503" t="inlineStr">
        <is>
          <t>Dětský jahodový aromatizovaný 40g(20x2g) ks</t>
        </is>
      </c>
      <c r="F503" t="inlineStr">
        <is>
          <t>8594056690794</t>
        </is>
      </c>
      <c r="G503" t="n">
        <v>47.32</v>
      </c>
      <c r="H503">
        <f>G503 * B503</f>
        <v/>
      </c>
      <c r="I503" t="n">
        <v>12</v>
      </c>
      <c r="J503">
        <f>53 * B503</f>
        <v/>
      </c>
    </row>
    <row r="504" ht="12.8" customHeight="1" s="26">
      <c r="A504" t="inlineStr">
        <is>
          <t>99254</t>
        </is>
      </c>
      <c r="B504" t="n">
        <v>0</v>
      </c>
      <c r="C504" t="inlineStr">
        <is>
          <t>Dětský malinový aromatizovaný 40g(20x2g) ks</t>
        </is>
      </c>
      <c r="F504" t="inlineStr">
        <is>
          <t>8594056690725</t>
        </is>
      </c>
      <c r="G504" t="n">
        <v>47.32</v>
      </c>
      <c r="H504">
        <f>G504 * B504</f>
        <v/>
      </c>
      <c r="I504" t="n">
        <v>12</v>
      </c>
      <c r="J504">
        <f>53 * B504</f>
        <v/>
      </c>
    </row>
    <row r="505" ht="12.8" customHeight="1" s="26">
      <c r="A505" t="inlineStr">
        <is>
          <t>99266</t>
        </is>
      </c>
      <c r="B505" t="n">
        <v>0</v>
      </c>
      <c r="C505" t="inlineStr">
        <is>
          <t>Rakytník s pohankou a šípkem 40g(20x2g) ks</t>
        </is>
      </c>
      <c r="F505" t="inlineStr">
        <is>
          <t>8594056696598</t>
        </is>
      </c>
      <c r="G505" t="n">
        <v>47.32</v>
      </c>
      <c r="H505">
        <f>G505 * B505</f>
        <v/>
      </c>
      <c r="I505" t="n">
        <v>12</v>
      </c>
      <c r="J505">
        <f>53 * B505</f>
        <v/>
      </c>
    </row>
    <row r="506" ht="12.8" customHeight="1" s="26">
      <c r="A506" s="48" t="inlineStr">
        <is>
          <t>Čaje porcované, Zelené čaje porcované (Camellia sinensis)</t>
        </is>
      </c>
      <c r="B506" s="48" t="inlineStr"/>
      <c r="C506" s="48" t="inlineStr"/>
      <c r="D506" s="48" t="inlineStr"/>
      <c r="E506" s="48" t="inlineStr"/>
      <c r="F506" s="48" t="inlineStr"/>
      <c r="G506" s="48" t="inlineStr"/>
      <c r="H506" s="48" t="inlineStr"/>
      <c r="I506" s="48" t="inlineStr"/>
      <c r="J506" s="48" t="inlineStr"/>
      <c r="K506" s="48" t="n"/>
    </row>
    <row r="507" ht="12.8" customHeight="1" s="26">
      <c r="A507" t="inlineStr">
        <is>
          <t>92001</t>
        </is>
      </c>
      <c r="B507" t="n">
        <v>0</v>
      </c>
      <c r="C507" t="inlineStr">
        <is>
          <t>Zelená stezka 40g(20x2,0g) ks</t>
        </is>
      </c>
      <c r="F507" t="inlineStr">
        <is>
          <t>8594056690183</t>
        </is>
      </c>
      <c r="G507" t="n">
        <v>19.64</v>
      </c>
      <c r="H507">
        <f>G507 * B507</f>
        <v/>
      </c>
      <c r="I507" t="n">
        <v>12</v>
      </c>
      <c r="J507">
        <f>22 * B507</f>
        <v/>
      </c>
    </row>
    <row r="508" ht="12.8" customHeight="1" s="26">
      <c r="A508" t="inlineStr">
        <is>
          <t>95001</t>
        </is>
      </c>
      <c r="B508" t="n">
        <v>0</v>
      </c>
      <c r="C508" t="inlineStr">
        <is>
          <t>China Gunpowder green 40g(20x2g) LEAF ks</t>
        </is>
      </c>
      <c r="F508" t="inlineStr">
        <is>
          <t>8594056690220</t>
        </is>
      </c>
      <c r="G508" t="n">
        <v>41.07</v>
      </c>
      <c r="H508">
        <f>G508 * B508</f>
        <v/>
      </c>
      <c r="I508" t="n">
        <v>12</v>
      </c>
      <c r="J508">
        <f>46 * B508</f>
        <v/>
      </c>
    </row>
    <row r="509" ht="12.8" customHeight="1" s="26">
      <c r="A509" s="49" t="inlineStr">
        <is>
          <t>95002</t>
        </is>
      </c>
      <c r="B509" s="49" t="inlineStr">
        <is>
          <t>-</t>
        </is>
      </c>
      <c r="C509" s="49" t="inlineStr">
        <is>
          <t>China Gunpowder green temple of heaven 40g(20x2g) LEAF ks</t>
        </is>
      </c>
      <c r="D509" s="49" t="n"/>
      <c r="E509" s="49" t="n"/>
      <c r="F509" s="49" t="inlineStr">
        <is>
          <t>8594056690251</t>
        </is>
      </c>
      <c r="G509" s="49" t="n">
        <v>39.29</v>
      </c>
      <c r="H509" s="49" t="n"/>
      <c r="I509" s="49" t="n">
        <v>12</v>
      </c>
      <c r="J509" s="49" t="n"/>
      <c r="K509" s="49" t="n"/>
    </row>
    <row r="510" ht="12.8" customHeight="1" s="26">
      <c r="A510" t="inlineStr">
        <is>
          <t>95004</t>
        </is>
      </c>
      <c r="B510" t="n">
        <v>0</v>
      </c>
      <c r="C510" t="inlineStr">
        <is>
          <t>China Jasmín green 40g(20x2g) LEAF ks</t>
        </is>
      </c>
      <c r="F510" t="inlineStr">
        <is>
          <t>8594056695836</t>
        </is>
      </c>
      <c r="G510" t="n">
        <v>45.54</v>
      </c>
      <c r="H510">
        <f>G510 * B510</f>
        <v/>
      </c>
      <c r="I510" t="n">
        <v>12</v>
      </c>
      <c r="J510">
        <f>51 * B510</f>
        <v/>
      </c>
    </row>
    <row r="511" ht="12.8" customHeight="1" s="26">
      <c r="A511" t="inlineStr">
        <is>
          <t>95005</t>
        </is>
      </c>
      <c r="B511" t="n">
        <v>0</v>
      </c>
      <c r="C511" t="inlineStr">
        <is>
          <t>China Sencha green 40g(20x2g) LEAF ks</t>
        </is>
      </c>
      <c r="F511" t="inlineStr">
        <is>
          <t>8594056695935</t>
        </is>
      </c>
      <c r="G511" t="n">
        <v>38.39</v>
      </c>
      <c r="H511">
        <f>G511 * B511</f>
        <v/>
      </c>
      <c r="I511" t="n">
        <v>12</v>
      </c>
      <c r="J511">
        <f>43 * B511</f>
        <v/>
      </c>
    </row>
    <row r="512" ht="12.8" customHeight="1" s="26">
      <c r="A512" t="inlineStr">
        <is>
          <t>95006</t>
        </is>
      </c>
      <c r="B512" t="n">
        <v>0</v>
      </c>
      <c r="C512" t="inlineStr">
        <is>
          <t>China Oolong Se Chung 40g(20x2g) LEAF ks</t>
        </is>
      </c>
      <c r="F512" t="inlineStr">
        <is>
          <t>8594056695942</t>
        </is>
      </c>
      <c r="G512" t="n">
        <v>42.86</v>
      </c>
      <c r="H512">
        <f>G512 * B512</f>
        <v/>
      </c>
      <c r="I512" t="n">
        <v>12</v>
      </c>
      <c r="J512">
        <f>48 * B512</f>
        <v/>
      </c>
    </row>
    <row r="513" ht="12.8" customHeight="1" s="26">
      <c r="A513" s="49" t="inlineStr">
        <is>
          <t>95007</t>
        </is>
      </c>
      <c r="B513" s="49" t="inlineStr">
        <is>
          <t>-</t>
        </is>
      </c>
      <c r="C513" s="49" t="inlineStr">
        <is>
          <t>China Chun Mee 40g(20x2g) LEAF ks</t>
        </is>
      </c>
      <c r="D513" s="49" t="n"/>
      <c r="E513" s="49" t="n"/>
      <c r="F513" s="49" t="inlineStr">
        <is>
          <t>8594056695959</t>
        </is>
      </c>
      <c r="G513" s="49" t="n">
        <v>39.29</v>
      </c>
      <c r="H513" s="49" t="n"/>
      <c r="I513" s="49" t="n">
        <v>12</v>
      </c>
      <c r="J513" s="49" t="n"/>
      <c r="K513" s="49" t="n"/>
    </row>
    <row r="514" ht="12.8" customHeight="1" s="26">
      <c r="A514" t="inlineStr">
        <is>
          <t>95010</t>
        </is>
      </c>
      <c r="B514" t="n">
        <v>0</v>
      </c>
      <c r="C514" t="inlineStr">
        <is>
          <t>China Lung Ching 40g(20x2g) LEAF ks</t>
        </is>
      </c>
      <c r="F514" t="inlineStr">
        <is>
          <t>8594056690961</t>
        </is>
      </c>
      <c r="G514" t="n">
        <v>45.54</v>
      </c>
      <c r="H514">
        <f>G514 * B514</f>
        <v/>
      </c>
      <c r="I514" t="n">
        <v>12</v>
      </c>
      <c r="J514">
        <f>51 * B514</f>
        <v/>
      </c>
    </row>
    <row r="515" ht="12.8" customHeight="1" s="26">
      <c r="A515" s="49" t="inlineStr">
        <is>
          <t>95011</t>
        </is>
      </c>
      <c r="B515" s="49" t="inlineStr">
        <is>
          <t>-</t>
        </is>
      </c>
      <c r="C515" s="49" t="inlineStr">
        <is>
          <t>Japan Bancha 40g(20x2g) LEAF ks</t>
        </is>
      </c>
      <c r="D515" s="49" t="n"/>
      <c r="E515" s="49" t="n"/>
      <c r="F515" s="49" t="inlineStr">
        <is>
          <t>8594056690978</t>
        </is>
      </c>
      <c r="G515" s="49" t="n">
        <v>73.20999999999999</v>
      </c>
      <c r="H515" s="49" t="n"/>
      <c r="I515" s="49" t="n">
        <v>12</v>
      </c>
      <c r="J515" s="49" t="n"/>
      <c r="K515" s="49" t="n"/>
    </row>
    <row r="516" ht="12.8" customHeight="1" s="26">
      <c r="A516" t="inlineStr">
        <is>
          <t>95012</t>
        </is>
      </c>
      <c r="B516" t="n">
        <v>0</v>
      </c>
      <c r="C516" t="inlineStr">
        <is>
          <t>Japan Genmaicha 40g(20x2g) LEAF ks</t>
        </is>
      </c>
      <c r="F516" t="inlineStr">
        <is>
          <t>8594056690985</t>
        </is>
      </c>
      <c r="G516" t="n">
        <v>73.20999999999999</v>
      </c>
      <c r="H516">
        <f>G516 * B516</f>
        <v/>
      </c>
      <c r="I516" t="n">
        <v>12</v>
      </c>
      <c r="J516">
        <f>82 * B516</f>
        <v/>
      </c>
    </row>
    <row r="517" ht="12.8" customHeight="1" s="26">
      <c r="A517" s="49" t="inlineStr">
        <is>
          <t>95013</t>
        </is>
      </c>
      <c r="B517" s="49" t="inlineStr">
        <is>
          <t>-</t>
        </is>
      </c>
      <c r="C517" s="49" t="inlineStr">
        <is>
          <t>Ceylon green OP 40g(20x2g) LEAF ks</t>
        </is>
      </c>
      <c r="D517" s="49" t="n"/>
      <c r="E517" s="49" t="n"/>
      <c r="F517" s="49" t="inlineStr">
        <is>
          <t>8594056696567</t>
        </is>
      </c>
      <c r="G517" s="49" t="n">
        <v>43.75</v>
      </c>
      <c r="H517" s="49" t="n"/>
      <c r="I517" s="49" t="n">
        <v>12</v>
      </c>
      <c r="J517" s="49" t="n"/>
      <c r="K517" s="49" t="n"/>
    </row>
    <row r="518" ht="12.8" customHeight="1" s="26">
      <c r="A518" s="49" t="inlineStr">
        <is>
          <t>95014</t>
        </is>
      </c>
      <c r="B518" s="49" t="inlineStr">
        <is>
          <t>-</t>
        </is>
      </c>
      <c r="C518" s="49" t="inlineStr">
        <is>
          <t>Ceylon green EARLGREY OP 40g(20x2g) LEAF ks</t>
        </is>
      </c>
      <c r="D518" s="49" t="n"/>
      <c r="E518" s="49" t="n"/>
      <c r="F518" s="49" t="inlineStr">
        <is>
          <t>8594056696574</t>
        </is>
      </c>
      <c r="G518" s="49" t="n">
        <v>43.75</v>
      </c>
      <c r="H518" s="49" t="n"/>
      <c r="I518" s="49" t="n">
        <v>12</v>
      </c>
      <c r="J518" s="49" t="n"/>
      <c r="K518" s="49" t="n"/>
    </row>
    <row r="519" ht="12.8" customHeight="1" s="26">
      <c r="A519" t="inlineStr">
        <is>
          <t>99203</t>
        </is>
      </c>
      <c r="B519" t="n">
        <v>0</v>
      </c>
      <c r="C519" t="inlineStr">
        <is>
          <t>Tuareg (Gunpowder a Nana) 40g(20x2g) ks</t>
        </is>
      </c>
      <c r="F519" t="inlineStr">
        <is>
          <t>8594056695652</t>
        </is>
      </c>
      <c r="G519" t="n">
        <v>42.86</v>
      </c>
      <c r="H519">
        <f>G519 * B519</f>
        <v/>
      </c>
      <c r="I519" t="n">
        <v>12</v>
      </c>
      <c r="J519">
        <f>48 * B519</f>
        <v/>
      </c>
    </row>
    <row r="520" ht="12.8" customHeight="1" s="26">
      <c r="A520" t="inlineStr">
        <is>
          <t>99208</t>
        </is>
      </c>
      <c r="B520" t="n">
        <v>0</v>
      </c>
      <c r="C520" t="inlineStr">
        <is>
          <t>Zelený čaj s ginkgem 40g(20x2g) ks</t>
        </is>
      </c>
      <c r="F520" t="inlineStr">
        <is>
          <t>8594056695706</t>
        </is>
      </c>
      <c r="G520" t="n">
        <v>45.54</v>
      </c>
      <c r="H520">
        <f>G520 * B520</f>
        <v/>
      </c>
      <c r="I520" t="n">
        <v>12</v>
      </c>
      <c r="J520">
        <f>51 * B520</f>
        <v/>
      </c>
    </row>
    <row r="521" ht="12.8" customHeight="1" s="26">
      <c r="A521" t="inlineStr">
        <is>
          <t>99209</t>
        </is>
      </c>
      <c r="B521" t="n">
        <v>0</v>
      </c>
      <c r="C521" t="inlineStr">
        <is>
          <t>Zelený čaj s ženšenem 40g(20x2g) ks</t>
        </is>
      </c>
      <c r="F521" t="inlineStr">
        <is>
          <t>8594056695713</t>
        </is>
      </c>
      <c r="G521" t="n">
        <v>48.21</v>
      </c>
      <c r="H521">
        <f>G521 * B521</f>
        <v/>
      </c>
      <c r="I521" t="n">
        <v>12</v>
      </c>
      <c r="J521">
        <f>54 * B521</f>
        <v/>
      </c>
    </row>
    <row r="522" ht="12.8" customHeight="1" s="26">
      <c r="A522" t="inlineStr">
        <is>
          <t>99215</t>
        </is>
      </c>
      <c r="B522" t="n">
        <v>0</v>
      </c>
      <c r="C522" t="inlineStr">
        <is>
          <t>China Pai mu tan (Bílá pivoňka) 40g(20x2g) ks</t>
        </is>
      </c>
      <c r="F522" t="inlineStr">
        <is>
          <t>8594056695874</t>
        </is>
      </c>
      <c r="G522" t="n">
        <v>44.64</v>
      </c>
      <c r="H522">
        <f>G522 * B522</f>
        <v/>
      </c>
      <c r="I522" t="n">
        <v>12</v>
      </c>
      <c r="J522">
        <f>50 * B522</f>
        <v/>
      </c>
    </row>
    <row r="523" ht="12.8" customHeight="1" s="26">
      <c r="A523" t="inlineStr">
        <is>
          <t>99219</t>
        </is>
      </c>
      <c r="B523" t="n">
        <v>0</v>
      </c>
      <c r="C523" t="inlineStr">
        <is>
          <t>Zelený čaj s echinaceou 40g(20x2g) ks</t>
        </is>
      </c>
      <c r="F523" t="inlineStr">
        <is>
          <t>8594056695928</t>
        </is>
      </c>
      <c r="G523" t="n">
        <v>45.54</v>
      </c>
      <c r="H523">
        <f>G523 * B523</f>
        <v/>
      </c>
      <c r="I523" t="n">
        <v>12</v>
      </c>
      <c r="J523">
        <f>51 * B523</f>
        <v/>
      </c>
    </row>
    <row r="524" ht="12.8" customHeight="1" s="26">
      <c r="A524" t="inlineStr">
        <is>
          <t>99224</t>
        </is>
      </c>
      <c r="B524" t="n">
        <v>0</v>
      </c>
      <c r="C524" t="inlineStr">
        <is>
          <t>Zelený čaj lemon 40g(20x2g) ks</t>
        </is>
      </c>
      <c r="F524" t="inlineStr">
        <is>
          <t>8594056695973</t>
        </is>
      </c>
      <c r="G524" t="n">
        <v>35.71</v>
      </c>
      <c r="H524">
        <f>G524 * B524</f>
        <v/>
      </c>
      <c r="I524" t="n">
        <v>12</v>
      </c>
      <c r="J524">
        <f>40 * B524</f>
        <v/>
      </c>
    </row>
    <row r="525" ht="12.8" customHeight="1" s="26">
      <c r="A525" s="48" t="inlineStr">
        <is>
          <t>Čaje porcované, Černé čaje porcované (Camellia sinensis)</t>
        </is>
      </c>
      <c r="B525" s="48" t="inlineStr"/>
      <c r="C525" s="48" t="inlineStr"/>
      <c r="D525" s="48" t="inlineStr"/>
      <c r="E525" s="48" t="inlineStr"/>
      <c r="F525" s="48" t="inlineStr"/>
      <c r="G525" s="48" t="inlineStr"/>
      <c r="H525" s="48" t="inlineStr"/>
      <c r="I525" s="48" t="inlineStr"/>
      <c r="J525" s="48" t="inlineStr"/>
      <c r="K525" s="48" t="n"/>
    </row>
    <row r="526" ht="12.8" customHeight="1" s="26">
      <c r="A526" t="inlineStr">
        <is>
          <t>92002</t>
        </is>
      </c>
      <c r="B526" t="n">
        <v>0</v>
      </c>
      <c r="C526" t="inlineStr">
        <is>
          <t>Pravý angličan 40g(20x2,0g) ks</t>
        </is>
      </c>
      <c r="F526" t="inlineStr">
        <is>
          <t>8594056690206</t>
        </is>
      </c>
      <c r="G526" t="n">
        <v>19.64</v>
      </c>
      <c r="H526">
        <f>G526 * B526</f>
        <v/>
      </c>
      <c r="I526" t="n">
        <v>12</v>
      </c>
      <c r="J526">
        <f>22 * B526</f>
        <v/>
      </c>
    </row>
    <row r="527" ht="12.8" customHeight="1" s="26">
      <c r="A527" t="inlineStr">
        <is>
          <t>95003</t>
        </is>
      </c>
      <c r="B527" t="n">
        <v>0</v>
      </c>
      <c r="C527" t="inlineStr">
        <is>
          <t>China Pu-erh black 40g(20x2g) LEAF ks</t>
        </is>
      </c>
      <c r="F527" t="inlineStr">
        <is>
          <t>8594056690213</t>
        </is>
      </c>
      <c r="G527" t="n">
        <v>43.75</v>
      </c>
      <c r="H527">
        <f>G527 * B527</f>
        <v/>
      </c>
      <c r="I527" t="n">
        <v>12</v>
      </c>
      <c r="J527">
        <f>49 * B527</f>
        <v/>
      </c>
    </row>
    <row r="528" ht="12.8" customHeight="1" s="26">
      <c r="A528" t="inlineStr">
        <is>
          <t>95008</t>
        </is>
      </c>
      <c r="B528" t="n">
        <v>0</v>
      </c>
      <c r="C528" t="inlineStr">
        <is>
          <t>India Assam black TGFOP1 40g(20x2g) LEAF ks</t>
        </is>
      </c>
      <c r="F528" t="inlineStr">
        <is>
          <t>8594056690299</t>
        </is>
      </c>
      <c r="G528" t="n">
        <v>41.07</v>
      </c>
      <c r="H528">
        <f>G528 * B528</f>
        <v/>
      </c>
      <c r="I528" t="n">
        <v>12</v>
      </c>
      <c r="J528">
        <f>46 * B528</f>
        <v/>
      </c>
    </row>
    <row r="529" ht="12.8" customHeight="1" s="26">
      <c r="A529" s="49" t="inlineStr">
        <is>
          <t>95009</t>
        </is>
      </c>
      <c r="B529" s="49" t="inlineStr">
        <is>
          <t>-</t>
        </is>
      </c>
      <c r="C529" s="49" t="inlineStr">
        <is>
          <t>India Darjeeling black FTGFOP1 40g(20x2g) LEAF ks</t>
        </is>
      </c>
      <c r="D529" s="49" t="n"/>
      <c r="E529" s="49" t="n"/>
      <c r="F529" s="49" t="inlineStr">
        <is>
          <t>8594056690954</t>
        </is>
      </c>
      <c r="G529" s="49" t="n">
        <v>34.82</v>
      </c>
      <c r="H529" s="49" t="n"/>
      <c r="I529" s="49" t="n">
        <v>12</v>
      </c>
      <c r="J529" s="49" t="n"/>
      <c r="K529" s="49" t="n"/>
    </row>
    <row r="530" ht="12.8" customHeight="1" s="26">
      <c r="A530" s="49" t="inlineStr">
        <is>
          <t>95015</t>
        </is>
      </c>
      <c r="B530" s="49" t="inlineStr">
        <is>
          <t>-</t>
        </is>
      </c>
      <c r="C530" s="49" t="inlineStr">
        <is>
          <t>Ceylon black EARLGREY OP 40g(20x2g) LEAF ks</t>
        </is>
      </c>
      <c r="D530" s="49" t="n"/>
      <c r="E530" s="49" t="n"/>
      <c r="F530" s="49" t="inlineStr">
        <is>
          <t>8594056696581</t>
        </is>
      </c>
      <c r="G530" s="49" t="n">
        <v>40.18</v>
      </c>
      <c r="H530" s="49" t="n"/>
      <c r="I530" s="49" t="n">
        <v>12</v>
      </c>
      <c r="J530" s="49" t="n"/>
      <c r="K530" s="49" t="n"/>
    </row>
    <row r="531" ht="12.8" customHeight="1" s="26">
      <c r="A531" t="inlineStr">
        <is>
          <t>95016</t>
        </is>
      </c>
      <c r="B531" t="n">
        <v>0</v>
      </c>
      <c r="C531" t="inlineStr">
        <is>
          <t>Ceylon black OP 40g(20x2g) LEAF ks</t>
        </is>
      </c>
      <c r="F531" t="inlineStr">
        <is>
          <t>8594056695980</t>
        </is>
      </c>
      <c r="G531" t="n">
        <v>39.29</v>
      </c>
      <c r="H531">
        <f>G531 * B531</f>
        <v/>
      </c>
      <c r="I531" t="n">
        <v>12</v>
      </c>
      <c r="J531">
        <f>44 * B531</f>
        <v/>
      </c>
    </row>
    <row r="532" ht="12.8" customHeight="1" s="26">
      <c r="A532" t="inlineStr">
        <is>
          <t>99204</t>
        </is>
      </c>
      <c r="B532" t="n">
        <v>0</v>
      </c>
      <c r="C532" t="inlineStr">
        <is>
          <t>China Pu-erh black s chaluhou 40g(20x2g) ks</t>
        </is>
      </c>
      <c r="F532" t="inlineStr">
        <is>
          <t>8594056695669</t>
        </is>
      </c>
      <c r="G532" t="n">
        <v>43.75</v>
      </c>
      <c r="H532">
        <f>G532 * B532</f>
        <v/>
      </c>
      <c r="I532" t="n">
        <v>12</v>
      </c>
      <c r="J532">
        <f>49 * B532</f>
        <v/>
      </c>
    </row>
    <row r="533" ht="12.8" customHeight="1" s="26">
      <c r="A533" t="inlineStr">
        <is>
          <t>99205</t>
        </is>
      </c>
      <c r="B533" t="n">
        <v>0</v>
      </c>
      <c r="C533" t="inlineStr">
        <is>
          <t>China Pu-erh black s citronem 40g(20x2g) ks</t>
        </is>
      </c>
      <c r="F533" t="inlineStr">
        <is>
          <t>8594056695676</t>
        </is>
      </c>
      <c r="G533" t="n">
        <v>43.75</v>
      </c>
      <c r="H533">
        <f>G533 * B533</f>
        <v/>
      </c>
      <c r="I533" t="n">
        <v>12</v>
      </c>
      <c r="J533">
        <f>49 * B533</f>
        <v/>
      </c>
    </row>
    <row r="534" ht="12.8" customHeight="1" s="26">
      <c r="A534" t="inlineStr">
        <is>
          <t>99206</t>
        </is>
      </c>
      <c r="B534" t="n">
        <v>0</v>
      </c>
      <c r="C534" t="inlineStr">
        <is>
          <t>China Pu-erh black s mátou 40g(20x2g) ks</t>
        </is>
      </c>
      <c r="F534" t="inlineStr">
        <is>
          <t>8594056695683</t>
        </is>
      </c>
      <c r="G534" t="n">
        <v>43.75</v>
      </c>
      <c r="H534">
        <f>G534 * B534</f>
        <v/>
      </c>
      <c r="I534" t="n">
        <v>12</v>
      </c>
      <c r="J534">
        <f>49 * B534</f>
        <v/>
      </c>
    </row>
    <row r="535" ht="12.8" customHeight="1" s="26">
      <c r="A535" t="inlineStr">
        <is>
          <t>99213</t>
        </is>
      </c>
      <c r="B535" t="n">
        <v>0</v>
      </c>
      <c r="C535" t="inlineStr">
        <is>
          <t>China Pu-erh black a betakaroten 40g(20x2g) ks</t>
        </is>
      </c>
      <c r="F535" t="inlineStr">
        <is>
          <t>8594056695850</t>
        </is>
      </c>
      <c r="G535" t="n">
        <v>43.75</v>
      </c>
      <c r="H535">
        <f>G535 * B535</f>
        <v/>
      </c>
      <c r="I535" t="n">
        <v>12</v>
      </c>
      <c r="J535">
        <f>49 * B535</f>
        <v/>
      </c>
    </row>
    <row r="536" ht="12.8" customHeight="1" s="26">
      <c r="A536" t="inlineStr">
        <is>
          <t>99237</t>
        </is>
      </c>
      <c r="B536" t="n">
        <v>0</v>
      </c>
      <c r="C536" t="inlineStr">
        <is>
          <t>Ruský černý čaj 40g(20x2g) ks</t>
        </is>
      </c>
      <c r="F536" t="inlineStr">
        <is>
          <t>8594056696192</t>
        </is>
      </c>
      <c r="G536" t="n">
        <v>43.75</v>
      </c>
      <c r="H536">
        <f>G536 * B536</f>
        <v/>
      </c>
      <c r="I536" t="n">
        <v>12</v>
      </c>
      <c r="J536">
        <f>49 * B536</f>
        <v/>
      </c>
    </row>
    <row r="537" ht="12.8" customHeight="1" s="26">
      <c r="A537" t="inlineStr">
        <is>
          <t>99298</t>
        </is>
      </c>
      <c r="B537" t="n">
        <v>0</v>
      </c>
      <c r="C537" t="inlineStr">
        <is>
          <t>Gruzínský černý čaj 40g(20x2g) ks</t>
        </is>
      </c>
      <c r="F537" t="inlineStr">
        <is>
          <t>8594056691234</t>
        </is>
      </c>
      <c r="G537" t="n">
        <v>39.29</v>
      </c>
      <c r="H537">
        <f>G537 * B537</f>
        <v/>
      </c>
      <c r="I537" t="n">
        <v>12</v>
      </c>
      <c r="J537">
        <f>44 * B537</f>
        <v/>
      </c>
    </row>
    <row r="538" ht="12.8" customHeight="1" s="26">
      <c r="A538" t="inlineStr">
        <is>
          <t>99299</t>
        </is>
      </c>
      <c r="B538" t="n">
        <v>0</v>
      </c>
      <c r="C538" t="inlineStr">
        <is>
          <t>Argentinský černý čaj 40g(20x2g) ks</t>
        </is>
      </c>
      <c r="F538" t="inlineStr">
        <is>
          <t>8594056696635</t>
        </is>
      </c>
      <c r="G538" t="n">
        <v>26.79</v>
      </c>
      <c r="H538">
        <f>G538 * B538</f>
        <v/>
      </c>
      <c r="I538" t="n">
        <v>12</v>
      </c>
      <c r="J538">
        <f>30 * B538</f>
        <v/>
      </c>
    </row>
    <row r="539" ht="12.8" customHeight="1" s="26">
      <c r="A539" s="48" t="inlineStr">
        <is>
          <t>Čaje sypané, Bylinné čaje (směsi) sypané</t>
        </is>
      </c>
      <c r="B539" s="48" t="inlineStr"/>
      <c r="C539" s="48" t="inlineStr"/>
      <c r="D539" s="48" t="inlineStr"/>
      <c r="E539" s="48" t="inlineStr"/>
      <c r="F539" s="48" t="inlineStr"/>
      <c r="G539" s="48" t="inlineStr"/>
      <c r="H539" s="48" t="inlineStr"/>
      <c r="I539" s="48" t="inlineStr"/>
      <c r="J539" s="48" t="inlineStr"/>
      <c r="K539" s="48" t="n"/>
    </row>
    <row r="540" ht="12.8" customHeight="1" s="26">
      <c r="A540" t="inlineStr">
        <is>
          <t>99001</t>
        </is>
      </c>
      <c r="B540" t="n">
        <v>0</v>
      </c>
      <c r="C540" t="inlineStr">
        <is>
          <t>Vodnář 50g ks</t>
        </is>
      </c>
      <c r="F540" t="inlineStr">
        <is>
          <t>8594056690015</t>
        </is>
      </c>
      <c r="G540" t="n">
        <v>40.18</v>
      </c>
      <c r="H540">
        <f>G540 * B540</f>
        <v/>
      </c>
      <c r="I540" t="n">
        <v>12</v>
      </c>
      <c r="J540">
        <f>45 * B540</f>
        <v/>
      </c>
    </row>
    <row r="541" ht="12.8" customHeight="1" s="26">
      <c r="A541" t="inlineStr">
        <is>
          <t>99002</t>
        </is>
      </c>
      <c r="B541" t="n">
        <v>0</v>
      </c>
      <c r="C541" t="inlineStr">
        <is>
          <t>Ryby 50g ks</t>
        </is>
      </c>
      <c r="F541" t="inlineStr">
        <is>
          <t>8594056690022</t>
        </is>
      </c>
      <c r="G541" t="n">
        <v>40.18</v>
      </c>
      <c r="H541">
        <f>G541 * B541</f>
        <v/>
      </c>
      <c r="I541" t="n">
        <v>12</v>
      </c>
      <c r="J541">
        <f>45 * B541</f>
        <v/>
      </c>
    </row>
    <row r="542" ht="12.8" customHeight="1" s="26">
      <c r="A542" t="inlineStr">
        <is>
          <t>99003</t>
        </is>
      </c>
      <c r="B542" t="n">
        <v>0</v>
      </c>
      <c r="C542" t="inlineStr">
        <is>
          <t>Panna 50g ks</t>
        </is>
      </c>
      <c r="F542" t="inlineStr">
        <is>
          <t>8594056690084</t>
        </is>
      </c>
      <c r="G542" t="n">
        <v>40.18</v>
      </c>
      <c r="H542">
        <f>G542 * B542</f>
        <v/>
      </c>
      <c r="I542" t="n">
        <v>12</v>
      </c>
      <c r="J542">
        <f>45 * B542</f>
        <v/>
      </c>
    </row>
    <row r="543" ht="12.8" customHeight="1" s="26">
      <c r="A543" t="inlineStr">
        <is>
          <t>99004</t>
        </is>
      </c>
      <c r="B543" t="n">
        <v>0</v>
      </c>
      <c r="C543" t="inlineStr">
        <is>
          <t>Býk 50g ks</t>
        </is>
      </c>
      <c r="F543" t="inlineStr">
        <is>
          <t>8594056690046</t>
        </is>
      </c>
      <c r="G543" t="n">
        <v>40.18</v>
      </c>
      <c r="H543">
        <f>G543 * B543</f>
        <v/>
      </c>
      <c r="I543" t="n">
        <v>12</v>
      </c>
      <c r="J543">
        <f>45 * B543</f>
        <v/>
      </c>
    </row>
    <row r="544" ht="12.8" customHeight="1" s="26">
      <c r="A544" t="inlineStr">
        <is>
          <t>99005</t>
        </is>
      </c>
      <c r="B544" t="n">
        <v>0</v>
      </c>
      <c r="C544" t="inlineStr">
        <is>
          <t>Váhy 50g ks</t>
        </is>
      </c>
      <c r="F544" t="inlineStr">
        <is>
          <t>8594056690091</t>
        </is>
      </c>
      <c r="G544" t="n">
        <v>40.18</v>
      </c>
      <c r="H544">
        <f>G544 * B544</f>
        <v/>
      </c>
      <c r="I544" t="n">
        <v>12</v>
      </c>
      <c r="J544">
        <f>45 * B544</f>
        <v/>
      </c>
    </row>
    <row r="545" ht="12.8" customHeight="1" s="26">
      <c r="A545" t="inlineStr">
        <is>
          <t>99006</t>
        </is>
      </c>
      <c r="B545" t="n">
        <v>0</v>
      </c>
      <c r="C545" t="inlineStr">
        <is>
          <t>Blíženci 50g ks</t>
        </is>
      </c>
      <c r="F545" t="inlineStr">
        <is>
          <t>8594056690053</t>
        </is>
      </c>
      <c r="G545" t="n">
        <v>40.18</v>
      </c>
      <c r="H545">
        <f>G545 * B545</f>
        <v/>
      </c>
      <c r="I545" t="n">
        <v>12</v>
      </c>
      <c r="J545">
        <f>45 * B545</f>
        <v/>
      </c>
    </row>
    <row r="546" ht="12.8" customHeight="1" s="26">
      <c r="A546" t="inlineStr">
        <is>
          <t>99007</t>
        </is>
      </c>
      <c r="B546" t="n">
        <v>0</v>
      </c>
      <c r="C546" t="inlineStr">
        <is>
          <t>Lev 50g ks</t>
        </is>
      </c>
      <c r="F546" t="inlineStr">
        <is>
          <t>8594056690077</t>
        </is>
      </c>
      <c r="G546" t="n">
        <v>40.18</v>
      </c>
      <c r="H546">
        <f>G546 * B546</f>
        <v/>
      </c>
      <c r="I546" t="n">
        <v>12</v>
      </c>
      <c r="J546">
        <f>45 * B546</f>
        <v/>
      </c>
    </row>
    <row r="547" ht="12.8" customHeight="1" s="26">
      <c r="A547" t="inlineStr">
        <is>
          <t>99008</t>
        </is>
      </c>
      <c r="B547" t="n">
        <v>0</v>
      </c>
      <c r="C547" t="inlineStr">
        <is>
          <t>Štír 50g ks</t>
        </is>
      </c>
      <c r="F547" t="inlineStr">
        <is>
          <t>8594056690107</t>
        </is>
      </c>
      <c r="G547" t="n">
        <v>40.18</v>
      </c>
      <c r="H547">
        <f>G547 * B547</f>
        <v/>
      </c>
      <c r="I547" t="n">
        <v>12</v>
      </c>
      <c r="J547">
        <f>45 * B547</f>
        <v/>
      </c>
    </row>
    <row r="548" ht="12.8" customHeight="1" s="26">
      <c r="A548" t="inlineStr">
        <is>
          <t>99009</t>
        </is>
      </c>
      <c r="B548" t="n">
        <v>0</v>
      </c>
      <c r="C548" t="inlineStr">
        <is>
          <t>Kozoroh 50g ks</t>
        </is>
      </c>
      <c r="F548" t="inlineStr">
        <is>
          <t>8594056690121</t>
        </is>
      </c>
      <c r="G548" t="n">
        <v>40.18</v>
      </c>
      <c r="H548">
        <f>G548 * B548</f>
        <v/>
      </c>
      <c r="I548" t="n">
        <v>12</v>
      </c>
      <c r="J548">
        <f>45 * B548</f>
        <v/>
      </c>
    </row>
    <row r="549" ht="12.8" customHeight="1" s="26">
      <c r="A549" t="inlineStr">
        <is>
          <t>99010</t>
        </is>
      </c>
      <c r="B549" t="n">
        <v>0</v>
      </c>
      <c r="C549" t="inlineStr">
        <is>
          <t>Beran 50g ks</t>
        </is>
      </c>
      <c r="F549" t="inlineStr">
        <is>
          <t>8594056690039</t>
        </is>
      </c>
      <c r="G549" t="n">
        <v>40.18</v>
      </c>
      <c r="H549">
        <f>G549 * B549</f>
        <v/>
      </c>
      <c r="I549" t="n">
        <v>12</v>
      </c>
      <c r="J549">
        <f>45 * B549</f>
        <v/>
      </c>
    </row>
    <row r="550" ht="12.8" customHeight="1" s="26">
      <c r="A550" t="inlineStr">
        <is>
          <t>99011</t>
        </is>
      </c>
      <c r="B550" t="n">
        <v>0</v>
      </c>
      <c r="C550" t="inlineStr">
        <is>
          <t>Střelec 50g ks</t>
        </is>
      </c>
      <c r="F550" t="inlineStr">
        <is>
          <t>8594056690114</t>
        </is>
      </c>
      <c r="G550" t="n">
        <v>40.18</v>
      </c>
      <c r="H550">
        <f>G550 * B550</f>
        <v/>
      </c>
      <c r="I550" t="n">
        <v>12</v>
      </c>
      <c r="J550">
        <f>45 * B550</f>
        <v/>
      </c>
    </row>
    <row r="551" ht="12.8" customHeight="1" s="26">
      <c r="A551" t="inlineStr">
        <is>
          <t>99012</t>
        </is>
      </c>
      <c r="B551" t="n">
        <v>0</v>
      </c>
      <c r="C551" t="inlineStr">
        <is>
          <t>Rak 50g ks</t>
        </is>
      </c>
      <c r="F551" t="inlineStr">
        <is>
          <t>8594056690060</t>
        </is>
      </c>
      <c r="G551" t="n">
        <v>40.18</v>
      </c>
      <c r="H551">
        <f>G551 * B551</f>
        <v/>
      </c>
      <c r="I551" t="n">
        <v>12</v>
      </c>
      <c r="J551">
        <f>45 * B551</f>
        <v/>
      </c>
    </row>
    <row r="552" ht="12.8" customHeight="1" s="26">
      <c r="A552" t="inlineStr">
        <is>
          <t>99013</t>
        </is>
      </c>
      <c r="B552" t="n">
        <v>0</v>
      </c>
      <c r="C552" t="inlineStr">
        <is>
          <t>Imunomax Tea 50g ks</t>
        </is>
      </c>
      <c r="F552" t="inlineStr">
        <is>
          <t>8594056690138</t>
        </is>
      </c>
      <c r="G552" t="n">
        <v>40.18</v>
      </c>
      <c r="H552">
        <f>G552 * B552</f>
        <v/>
      </c>
      <c r="I552" t="n">
        <v>12</v>
      </c>
      <c r="J552">
        <f>45 * B552</f>
        <v/>
      </c>
    </row>
    <row r="553" ht="12.8" customHeight="1" s="26">
      <c r="A553" t="inlineStr">
        <is>
          <t>99014</t>
        </is>
      </c>
      <c r="B553" t="n">
        <v>0</v>
      </c>
      <c r="C553" t="inlineStr">
        <is>
          <t>Na hubnutí 50g ks</t>
        </is>
      </c>
      <c r="F553" t="inlineStr">
        <is>
          <t>8594056690145</t>
        </is>
      </c>
      <c r="G553" t="n">
        <v>40.18</v>
      </c>
      <c r="H553">
        <f>G553 * B553</f>
        <v/>
      </c>
      <c r="I553" t="n">
        <v>12</v>
      </c>
      <c r="J553">
        <f>45 * B553</f>
        <v/>
      </c>
    </row>
    <row r="554" ht="12.8" customHeight="1" s="26">
      <c r="A554" t="inlineStr">
        <is>
          <t>99015</t>
        </is>
      </c>
      <c r="B554" t="n">
        <v>0</v>
      </c>
      <c r="C554" t="inlineStr">
        <is>
          <t>Na pročištění organizmu 50g ks</t>
        </is>
      </c>
      <c r="F554" t="inlineStr">
        <is>
          <t>8594056690152</t>
        </is>
      </c>
      <c r="G554" t="n">
        <v>40.18</v>
      </c>
      <c r="H554">
        <f>G554 * B554</f>
        <v/>
      </c>
      <c r="I554" t="n">
        <v>12</v>
      </c>
      <c r="J554">
        <f>45 * B554</f>
        <v/>
      </c>
    </row>
    <row r="555" ht="12.8" customHeight="1" s="26">
      <c r="A555" t="inlineStr">
        <is>
          <t>99016</t>
        </is>
      </c>
      <c r="B555" t="n">
        <v>0</v>
      </c>
      <c r="C555" t="inlineStr">
        <is>
          <t>Proti stresu 50g ks</t>
        </is>
      </c>
      <c r="F555" t="inlineStr">
        <is>
          <t>8594056690176</t>
        </is>
      </c>
      <c r="G555" t="n">
        <v>40.18</v>
      </c>
      <c r="H555">
        <f>G555 * B555</f>
        <v/>
      </c>
      <c r="I555" t="n">
        <v>12</v>
      </c>
      <c r="J555">
        <f>45 * B555</f>
        <v/>
      </c>
    </row>
    <row r="556" ht="12.8" customHeight="1" s="26">
      <c r="A556" t="inlineStr">
        <is>
          <t>99017</t>
        </is>
      </c>
      <c r="B556" t="n">
        <v>0</v>
      </c>
      <c r="C556" t="inlineStr">
        <is>
          <t>Dobré trávení 50g ks</t>
        </is>
      </c>
      <c r="F556" t="inlineStr">
        <is>
          <t>8594056690169</t>
        </is>
      </c>
      <c r="G556" t="n">
        <v>40.18</v>
      </c>
      <c r="H556">
        <f>G556 * B556</f>
        <v/>
      </c>
      <c r="I556" t="n">
        <v>12</v>
      </c>
      <c r="J556">
        <f>45 * B556</f>
        <v/>
      </c>
    </row>
    <row r="557" ht="12.8" customHeight="1" s="26">
      <c r="A557" t="inlineStr">
        <is>
          <t>99018</t>
        </is>
      </c>
      <c r="B557" t="n">
        <v>0</v>
      </c>
      <c r="C557" t="inlineStr">
        <is>
          <t>Ginkgo Tea 50g ks</t>
        </is>
      </c>
      <c r="F557" t="inlineStr">
        <is>
          <t>8594056691500</t>
        </is>
      </c>
      <c r="G557" t="n">
        <v>40.18</v>
      </c>
      <c r="H557">
        <f>G557 * B557</f>
        <v/>
      </c>
      <c r="I557" t="n">
        <v>12</v>
      </c>
      <c r="J557">
        <f>45 * B557</f>
        <v/>
      </c>
    </row>
    <row r="558" ht="12.8" customHeight="1" s="26">
      <c r="A558" t="inlineStr">
        <is>
          <t>99019</t>
        </is>
      </c>
      <c r="B558" t="n">
        <v>0</v>
      </c>
      <c r="C558" t="inlineStr">
        <is>
          <t>Echinacea tea 50g ks</t>
        </is>
      </c>
      <c r="F558" t="inlineStr">
        <is>
          <t>8594056691517</t>
        </is>
      </c>
      <c r="G558" t="n">
        <v>40.18</v>
      </c>
      <c r="H558">
        <f>G558 * B558</f>
        <v/>
      </c>
      <c r="I558" t="n">
        <v>12</v>
      </c>
      <c r="J558">
        <f>45 * B558</f>
        <v/>
      </c>
    </row>
    <row r="559" ht="12.8" customHeight="1" s="26">
      <c r="A559" t="inlineStr">
        <is>
          <t>99020</t>
        </is>
      </c>
      <c r="B559" t="n">
        <v>0</v>
      </c>
      <c r="C559" t="inlineStr">
        <is>
          <t>Žen-Šen Tea 50g ks</t>
        </is>
      </c>
      <c r="F559" t="inlineStr">
        <is>
          <t>8594056691524</t>
        </is>
      </c>
      <c r="G559" t="n">
        <v>46.43</v>
      </c>
      <c r="H559">
        <f>G559 * B559</f>
        <v/>
      </c>
      <c r="I559" t="n">
        <v>12</v>
      </c>
      <c r="J559">
        <f>52 * B559</f>
        <v/>
      </c>
    </row>
    <row r="560" ht="12.8" customHeight="1" s="26">
      <c r="A560" t="inlineStr">
        <is>
          <t>99021</t>
        </is>
      </c>
      <c r="B560" t="n">
        <v>0</v>
      </c>
      <c r="C560" t="inlineStr">
        <is>
          <t>Nekucík tea 50g ks</t>
        </is>
      </c>
      <c r="F560" t="inlineStr">
        <is>
          <t>8594056691531</t>
        </is>
      </c>
      <c r="G560" t="n">
        <v>40.18</v>
      </c>
      <c r="H560">
        <f>G560 * B560</f>
        <v/>
      </c>
      <c r="I560" t="n">
        <v>12</v>
      </c>
      <c r="J560">
        <f>45 * B560</f>
        <v/>
      </c>
    </row>
    <row r="561" ht="12.8" customHeight="1" s="26">
      <c r="A561" t="inlineStr">
        <is>
          <t>99022</t>
        </is>
      </c>
      <c r="B561" t="n">
        <v>0</v>
      </c>
      <c r="C561" t="inlineStr">
        <is>
          <t>Diabetik 50g ks</t>
        </is>
      </c>
      <c r="F561" t="inlineStr">
        <is>
          <t>8594056691548</t>
        </is>
      </c>
      <c r="G561" t="n">
        <v>40.18</v>
      </c>
      <c r="H561">
        <f>G561 * B561</f>
        <v/>
      </c>
      <c r="I561" t="n">
        <v>12</v>
      </c>
      <c r="J561">
        <f>45 * B561</f>
        <v/>
      </c>
    </row>
    <row r="562" ht="12.8" customHeight="1" s="26">
      <c r="A562" t="inlineStr">
        <is>
          <t>99023</t>
        </is>
      </c>
      <c r="B562" t="n">
        <v>0</v>
      </c>
      <c r="C562" t="inlineStr">
        <is>
          <t>Dvanásterník 50g ks</t>
        </is>
      </c>
      <c r="F562" t="inlineStr">
        <is>
          <t>8594056691555</t>
        </is>
      </c>
      <c r="G562" t="n">
        <v>40.18</v>
      </c>
      <c r="H562">
        <f>G562 * B562</f>
        <v/>
      </c>
      <c r="I562" t="n">
        <v>12</v>
      </c>
      <c r="J562">
        <f>45 * B562</f>
        <v/>
      </c>
    </row>
    <row r="563" ht="12.8" customHeight="1" s="26">
      <c r="A563" t="inlineStr">
        <is>
          <t>99024</t>
        </is>
      </c>
      <c r="B563" t="n">
        <v>0</v>
      </c>
      <c r="C563" t="inlineStr">
        <is>
          <t>Cholesterol 50g ks</t>
        </is>
      </c>
      <c r="F563" t="inlineStr">
        <is>
          <t>8594056691562</t>
        </is>
      </c>
      <c r="G563" t="n">
        <v>40.18</v>
      </c>
      <c r="H563">
        <f>G563 * B563</f>
        <v/>
      </c>
      <c r="I563" t="n">
        <v>12</v>
      </c>
      <c r="J563">
        <f>45 * B563</f>
        <v/>
      </c>
    </row>
    <row r="564" ht="12.8" customHeight="1" s="26">
      <c r="A564" t="inlineStr">
        <is>
          <t>99025</t>
        </is>
      </c>
      <c r="B564" t="n">
        <v>0</v>
      </c>
      <c r="C564" t="inlineStr">
        <is>
          <t>Průduškový 50g ks</t>
        </is>
      </c>
      <c r="F564" t="inlineStr">
        <is>
          <t>8594056691579</t>
        </is>
      </c>
      <c r="G564" t="n">
        <v>40.18</v>
      </c>
      <c r="H564">
        <f>G564 * B564</f>
        <v/>
      </c>
      <c r="I564" t="n">
        <v>12</v>
      </c>
      <c r="J564">
        <f>45 * B564</f>
        <v/>
      </c>
    </row>
    <row r="565" ht="12.8" customHeight="1" s="26">
      <c r="A565" t="inlineStr">
        <is>
          <t>99026</t>
        </is>
      </c>
      <c r="B565" t="n">
        <v>0</v>
      </c>
      <c r="C565" t="inlineStr">
        <is>
          <t>Dětský 50g ks</t>
        </is>
      </c>
      <c r="F565" t="inlineStr">
        <is>
          <t>8594056691586</t>
        </is>
      </c>
      <c r="G565" t="n">
        <v>40.18</v>
      </c>
      <c r="H565">
        <f>G565 * B565</f>
        <v/>
      </c>
      <c r="I565" t="n">
        <v>12</v>
      </c>
      <c r="J565">
        <f>45 * B565</f>
        <v/>
      </c>
    </row>
    <row r="566" ht="12.8" customHeight="1" s="26">
      <c r="A566" t="inlineStr">
        <is>
          <t>99027</t>
        </is>
      </c>
      <c r="B566" t="n">
        <v>0</v>
      </c>
      <c r="C566" t="inlineStr">
        <is>
          <t>Večerní-Klidný spánek 50g ks</t>
        </is>
      </c>
      <c r="F566" t="inlineStr">
        <is>
          <t>8594056691593</t>
        </is>
      </c>
      <c r="G566" t="n">
        <v>40.18</v>
      </c>
      <c r="H566">
        <f>G566 * B566</f>
        <v/>
      </c>
      <c r="I566" t="n">
        <v>12</v>
      </c>
      <c r="J566">
        <f>45 * B566</f>
        <v/>
      </c>
    </row>
    <row r="567" ht="12.8" customHeight="1" s="26">
      <c r="A567" t="inlineStr">
        <is>
          <t>99028</t>
        </is>
      </c>
      <c r="B567" t="n">
        <v>0</v>
      </c>
      <c r="C567" t="inlineStr">
        <is>
          <t>Urologický 50g ks</t>
        </is>
      </c>
      <c r="F567" t="inlineStr">
        <is>
          <t>8594056691609</t>
        </is>
      </c>
      <c r="G567" t="n">
        <v>40.18</v>
      </c>
      <c r="H567">
        <f>G567 * B567</f>
        <v/>
      </c>
      <c r="I567" t="n">
        <v>12</v>
      </c>
      <c r="J567">
        <f>45 * B567</f>
        <v/>
      </c>
    </row>
    <row r="568" ht="12.8" customHeight="1" s="26">
      <c r="A568" t="inlineStr">
        <is>
          <t>99029</t>
        </is>
      </c>
      <c r="B568" t="n">
        <v>0</v>
      </c>
      <c r="C568" t="inlineStr">
        <is>
          <t>Horský čaj 50g ks</t>
        </is>
      </c>
      <c r="F568" t="inlineStr">
        <is>
          <t>8594056691616</t>
        </is>
      </c>
      <c r="G568" t="n">
        <v>40.18</v>
      </c>
      <c r="H568">
        <f>G568 * B568</f>
        <v/>
      </c>
      <c r="I568" t="n">
        <v>12</v>
      </c>
      <c r="J568">
        <f>45 * B568</f>
        <v/>
      </c>
    </row>
    <row r="569" ht="12.8" customHeight="1" s="26">
      <c r="A569" t="inlineStr">
        <is>
          <t>99030</t>
        </is>
      </c>
      <c r="B569" t="n">
        <v>0</v>
      </c>
      <c r="C569" t="inlineStr">
        <is>
          <t>Pro kojící matky 50g ks</t>
        </is>
      </c>
      <c r="F569" t="inlineStr">
        <is>
          <t>8594056691623</t>
        </is>
      </c>
      <c r="G569" t="n">
        <v>40.18</v>
      </c>
      <c r="H569">
        <f>G569 * B569</f>
        <v/>
      </c>
      <c r="I569" t="n">
        <v>12</v>
      </c>
      <c r="J569">
        <f>45 * B569</f>
        <v/>
      </c>
    </row>
    <row r="570" ht="12.8" customHeight="1" s="26">
      <c r="A570" t="inlineStr">
        <is>
          <t>99031</t>
        </is>
      </c>
      <c r="B570" t="n">
        <v>0</v>
      </c>
      <c r="C570" t="inlineStr">
        <is>
          <t>Gripstop 50g ks</t>
        </is>
      </c>
      <c r="F570" t="inlineStr">
        <is>
          <t>8594056691630</t>
        </is>
      </c>
      <c r="G570" t="n">
        <v>40.18</v>
      </c>
      <c r="H570">
        <f>G570 * B570</f>
        <v/>
      </c>
      <c r="I570" t="n">
        <v>12</v>
      </c>
      <c r="J570">
        <f>45 * B570</f>
        <v/>
      </c>
    </row>
    <row r="571" ht="12.8" customHeight="1" s="26">
      <c r="A571" t="inlineStr">
        <is>
          <t>99032</t>
        </is>
      </c>
      <c r="B571" t="n">
        <v>0</v>
      </c>
      <c r="C571" t="inlineStr">
        <is>
          <t>Virostop 50g ks</t>
        </is>
      </c>
      <c r="F571" t="inlineStr">
        <is>
          <t>8594056691647</t>
        </is>
      </c>
      <c r="G571" t="n">
        <v>40.18</v>
      </c>
      <c r="H571">
        <f>G571 * B571</f>
        <v/>
      </c>
      <c r="I571" t="n">
        <v>12</v>
      </c>
      <c r="J571">
        <f>45 * B571</f>
        <v/>
      </c>
    </row>
    <row r="572" ht="12.8" customHeight="1" s="26">
      <c r="A572" t="inlineStr">
        <is>
          <t>99033</t>
        </is>
      </c>
      <c r="B572" t="n">
        <v>0</v>
      </c>
      <c r="C572" t="inlineStr">
        <is>
          <t>Kulový blesk s kotvičníkem 50g ks</t>
        </is>
      </c>
      <c r="F572" t="inlineStr">
        <is>
          <t>8594056696314</t>
        </is>
      </c>
      <c r="G572" t="n">
        <v>40.18</v>
      </c>
      <c r="H572">
        <f>G572 * B572</f>
        <v/>
      </c>
      <c r="I572" t="n">
        <v>12</v>
      </c>
      <c r="J572">
        <f>45 * B572</f>
        <v/>
      </c>
    </row>
    <row r="573" ht="12.8" customHeight="1" s="26">
      <c r="A573" t="inlineStr">
        <is>
          <t>99034</t>
        </is>
      </c>
      <c r="B573" t="n">
        <v>0</v>
      </c>
      <c r="C573" t="inlineStr">
        <is>
          <t>Antidnal tea 50g ks</t>
        </is>
      </c>
      <c r="F573" t="inlineStr">
        <is>
          <t>8594056694693</t>
        </is>
      </c>
      <c r="G573" t="n">
        <v>40.18</v>
      </c>
      <c r="H573">
        <f>G573 * B573</f>
        <v/>
      </c>
      <c r="I573" t="n">
        <v>12</v>
      </c>
      <c r="J573">
        <f>45 * B573</f>
        <v/>
      </c>
    </row>
    <row r="574" ht="12.8" customHeight="1" s="26">
      <c r="A574" t="inlineStr">
        <is>
          <t>99035</t>
        </is>
      </c>
      <c r="B574" t="n">
        <v>0</v>
      </c>
      <c r="C574" t="inlineStr">
        <is>
          <t>Na prostatu 50g ks</t>
        </is>
      </c>
      <c r="F574" t="inlineStr">
        <is>
          <t>8594056694709</t>
        </is>
      </c>
      <c r="G574" t="n">
        <v>40.18</v>
      </c>
      <c r="H574">
        <f>G574 * B574</f>
        <v/>
      </c>
      <c r="I574" t="n">
        <v>12</v>
      </c>
      <c r="J574">
        <f>45 * B574</f>
        <v/>
      </c>
    </row>
    <row r="575" ht="12.8" customHeight="1" s="26">
      <c r="A575" t="inlineStr">
        <is>
          <t>99036</t>
        </is>
      </c>
      <c r="B575" t="n">
        <v>0</v>
      </c>
      <c r="C575" t="inlineStr">
        <is>
          <t>Při hypertenzi (vysokém krevním tlaku) 50g ks</t>
        </is>
      </c>
      <c r="F575" t="inlineStr">
        <is>
          <t>8594056694716</t>
        </is>
      </c>
      <c r="G575" t="n">
        <v>40.18</v>
      </c>
      <c r="H575">
        <f>G575 * B575</f>
        <v/>
      </c>
      <c r="I575" t="n">
        <v>12</v>
      </c>
      <c r="J575">
        <f>45 * B575</f>
        <v/>
      </c>
    </row>
    <row r="576" ht="12.8" customHeight="1" s="26">
      <c r="A576" t="inlineStr">
        <is>
          <t>99037</t>
        </is>
      </c>
      <c r="B576" t="n">
        <v>0</v>
      </c>
      <c r="C576" t="inlineStr">
        <is>
          <t>Žlučníkový čaj 50g ks</t>
        </is>
      </c>
      <c r="F576" t="inlineStr">
        <is>
          <t>8594056694723</t>
        </is>
      </c>
      <c r="G576" t="n">
        <v>40.18</v>
      </c>
      <c r="H576">
        <f>G576 * B576</f>
        <v/>
      </c>
      <c r="I576" t="n">
        <v>12</v>
      </c>
      <c r="J576">
        <f>45 * B576</f>
        <v/>
      </c>
    </row>
    <row r="577" ht="12.8" customHeight="1" s="26">
      <c r="A577" t="inlineStr">
        <is>
          <t>99038</t>
        </is>
      </c>
      <c r="B577" t="n">
        <v>0</v>
      </c>
      <c r="C577" t="inlineStr">
        <is>
          <t>Jaterní čaj 50g ks</t>
        </is>
      </c>
      <c r="F577" t="inlineStr">
        <is>
          <t>8594056694730</t>
        </is>
      </c>
      <c r="G577" t="n">
        <v>40.18</v>
      </c>
      <c r="H577">
        <f>G577 * B577</f>
        <v/>
      </c>
      <c r="I577" t="n">
        <v>12</v>
      </c>
      <c r="J577">
        <f>45 * B577</f>
        <v/>
      </c>
    </row>
    <row r="578" ht="12.8" customHeight="1" s="26">
      <c r="A578" t="inlineStr">
        <is>
          <t>99039</t>
        </is>
      </c>
      <c r="B578" t="n">
        <v>0</v>
      </c>
      <c r="C578" t="inlineStr">
        <is>
          <t>Čaj na oči 50g ks</t>
        </is>
      </c>
      <c r="F578" t="inlineStr">
        <is>
          <t>8594056694747</t>
        </is>
      </c>
      <c r="G578" t="n">
        <v>40.18</v>
      </c>
      <c r="H578">
        <f>G578 * B578</f>
        <v/>
      </c>
      <c r="I578" t="n">
        <v>12</v>
      </c>
      <c r="J578">
        <f>45 * B578</f>
        <v/>
      </c>
    </row>
    <row r="579" ht="12.8" customHeight="1" s="26">
      <c r="A579" t="inlineStr">
        <is>
          <t>99040</t>
        </is>
      </c>
      <c r="B579" t="n">
        <v>0</v>
      </c>
      <c r="C579" t="inlineStr">
        <is>
          <t>Beskydský čaj průduškový 50g ks</t>
        </is>
      </c>
      <c r="F579" t="inlineStr">
        <is>
          <t>8594056694754</t>
        </is>
      </c>
      <c r="G579" t="n">
        <v>40.18</v>
      </c>
      <c r="H579">
        <f>G579 * B579</f>
        <v/>
      </c>
      <c r="I579" t="n">
        <v>12</v>
      </c>
      <c r="J579">
        <f>45 * B579</f>
        <v/>
      </c>
    </row>
    <row r="580" ht="12.8" customHeight="1" s="26">
      <c r="A580" t="inlineStr">
        <is>
          <t>99041</t>
        </is>
      </c>
      <c r="B580" t="n">
        <v>0</v>
      </c>
      <c r="C580" t="inlineStr">
        <is>
          <t>Čistící s červenou řepou 50g ks</t>
        </is>
      </c>
      <c r="F580" t="inlineStr">
        <is>
          <t>8594056694785</t>
        </is>
      </c>
      <c r="G580" t="n">
        <v>40.18</v>
      </c>
      <c r="H580">
        <f>G580 * B580</f>
        <v/>
      </c>
      <c r="I580" t="n">
        <v>12</v>
      </c>
      <c r="J580">
        <f>45 * B580</f>
        <v/>
      </c>
    </row>
    <row r="581" ht="12.8" customHeight="1" s="26">
      <c r="A581" t="inlineStr">
        <is>
          <t>99042</t>
        </is>
      </c>
      <c r="B581" t="n">
        <v>0</v>
      </c>
      <c r="C581" t="inlineStr">
        <is>
          <t>Vitamínová bomba Rakytník a plody aronie 50g ks</t>
        </is>
      </c>
      <c r="F581" t="inlineStr">
        <is>
          <t>8594056694792</t>
        </is>
      </c>
      <c r="G581" t="n">
        <v>40.18</v>
      </c>
      <c r="H581">
        <f>G581 * B581</f>
        <v/>
      </c>
      <c r="I581" t="n">
        <v>12</v>
      </c>
      <c r="J581">
        <f>45 * B581</f>
        <v/>
      </c>
    </row>
    <row r="582" ht="12.8" customHeight="1" s="26">
      <c r="A582" s="48" t="inlineStr">
        <is>
          <t>Čaje sypané, Byliny zahraniční, nečaje, sypané</t>
        </is>
      </c>
      <c r="B582" s="48" t="inlineStr"/>
      <c r="C582" s="48" t="inlineStr"/>
      <c r="D582" s="48" t="inlineStr"/>
      <c r="E582" s="48" t="inlineStr"/>
      <c r="F582" s="48" t="inlineStr"/>
      <c r="G582" s="48" t="inlineStr"/>
      <c r="H582" s="48" t="inlineStr"/>
      <c r="I582" s="48" t="inlineStr"/>
      <c r="J582" s="48" t="inlineStr"/>
      <c r="K582" s="48" t="n"/>
    </row>
    <row r="583" ht="12.8" customHeight="1" s="26">
      <c r="A583" t="inlineStr">
        <is>
          <t>110002</t>
        </is>
      </c>
      <c r="B583" t="n">
        <v>0</v>
      </c>
      <c r="C583" t="inlineStr">
        <is>
          <t>Cannamil Konopná herba 30g ks</t>
        </is>
      </c>
      <c r="F583" t="inlineStr">
        <is>
          <t>8594056696147</t>
        </is>
      </c>
      <c r="G583" t="n">
        <v>78.56999999999999</v>
      </c>
      <c r="H583">
        <f>G583 * B583</f>
        <v/>
      </c>
      <c r="I583" t="n">
        <v>12</v>
      </c>
      <c r="J583">
        <f>88 * B583</f>
        <v/>
      </c>
    </row>
    <row r="584" ht="12.8" customHeight="1" s="26">
      <c r="A584" t="inlineStr">
        <is>
          <t>94201</t>
        </is>
      </c>
      <c r="B584" t="n">
        <v>0</v>
      </c>
      <c r="C584" t="inlineStr">
        <is>
          <t>Lapacho Matto-Grosso 40g ks</t>
        </is>
      </c>
      <c r="F584" t="inlineStr">
        <is>
          <t>8594056692033</t>
        </is>
      </c>
      <c r="G584" t="n">
        <v>37.5</v>
      </c>
      <c r="H584">
        <f>G584 * B584</f>
        <v/>
      </c>
      <c r="I584" t="n">
        <v>12</v>
      </c>
      <c r="J584">
        <f>42 * B584</f>
        <v/>
      </c>
    </row>
    <row r="585" ht="12.8" customHeight="1" s="26">
      <c r="A585" t="inlineStr">
        <is>
          <t>94202</t>
        </is>
      </c>
      <c r="B585" t="n">
        <v>0</v>
      </c>
      <c r="C585" t="inlineStr">
        <is>
          <t>Rooibos fermentovaný 70g ks</t>
        </is>
      </c>
      <c r="F585" t="inlineStr">
        <is>
          <t>8594056692095</t>
        </is>
      </c>
      <c r="G585" t="n">
        <v>42.86</v>
      </c>
      <c r="H585">
        <f>G585 * B585</f>
        <v/>
      </c>
      <c r="I585" t="n">
        <v>12</v>
      </c>
      <c r="J585">
        <f>48 * B585</f>
        <v/>
      </c>
    </row>
    <row r="586" ht="12.8" customHeight="1" s="26">
      <c r="A586" t="inlineStr">
        <is>
          <t>94203</t>
        </is>
      </c>
      <c r="B586" t="n">
        <v>0</v>
      </c>
      <c r="C586" t="inlineStr">
        <is>
          <t>Mate green (Yerba mate) 70g ks</t>
        </is>
      </c>
      <c r="F586" t="inlineStr">
        <is>
          <t>8594056692118</t>
        </is>
      </c>
      <c r="G586" t="n">
        <v>39.29</v>
      </c>
      <c r="H586">
        <f>G586 * B586</f>
        <v/>
      </c>
      <c r="I586" t="n">
        <v>12</v>
      </c>
      <c r="J586">
        <f>44 * B586</f>
        <v/>
      </c>
    </row>
    <row r="587" ht="12.8" customHeight="1" s="26">
      <c r="A587" t="inlineStr">
        <is>
          <t>94204</t>
        </is>
      </c>
      <c r="B587" t="n">
        <v>0</v>
      </c>
      <c r="C587" t="inlineStr">
        <is>
          <t>Honeybush 70g ks</t>
        </is>
      </c>
      <c r="F587" t="inlineStr">
        <is>
          <t>8594056692125</t>
        </is>
      </c>
      <c r="G587" t="n">
        <v>59.82</v>
      </c>
      <c r="H587">
        <f>G587 * B587</f>
        <v/>
      </c>
      <c r="I587" t="n">
        <v>12</v>
      </c>
      <c r="J587">
        <f>67 * B587</f>
        <v/>
      </c>
    </row>
    <row r="588" ht="12.8" customHeight="1" s="26">
      <c r="A588" t="inlineStr">
        <is>
          <t>94205</t>
        </is>
      </c>
      <c r="B588" t="n">
        <v>0</v>
      </c>
      <c r="C588" t="inlineStr">
        <is>
          <t>Marocká Máta - Nana 40g ks</t>
        </is>
      </c>
      <c r="F588" t="inlineStr">
        <is>
          <t>8594056692026</t>
        </is>
      </c>
      <c r="G588" t="n">
        <v>29.46</v>
      </c>
      <c r="H588">
        <f>G588 * B588</f>
        <v/>
      </c>
      <c r="I588" t="n">
        <v>12</v>
      </c>
      <c r="J588">
        <f>33 * B588</f>
        <v/>
      </c>
    </row>
    <row r="589" ht="12.8" customHeight="1" s="26">
      <c r="A589" t="inlineStr">
        <is>
          <t>94207</t>
        </is>
      </c>
      <c r="B589" t="n">
        <v>0</v>
      </c>
      <c r="C589" t="inlineStr">
        <is>
          <t>Mate green Lemon 50g ks</t>
        </is>
      </c>
      <c r="F589" t="inlineStr">
        <is>
          <t>8594056692170</t>
        </is>
      </c>
      <c r="G589" t="n">
        <v>34.82</v>
      </c>
      <c r="H589">
        <f>G589 * B589</f>
        <v/>
      </c>
      <c r="I589" t="n">
        <v>12</v>
      </c>
      <c r="J589">
        <f>39 * B589</f>
        <v/>
      </c>
    </row>
    <row r="590" ht="12.8" customHeight="1" s="26">
      <c r="A590" t="inlineStr">
        <is>
          <t>94208</t>
        </is>
      </c>
      <c r="B590" t="n">
        <v>0</v>
      </c>
      <c r="C590" t="inlineStr">
        <is>
          <t>Vilcacora (Řemdihák plstnatý) kůra 40g ks</t>
        </is>
      </c>
      <c r="F590" t="inlineStr">
        <is>
          <t>8594056691128</t>
        </is>
      </c>
      <c r="G590" t="n">
        <v>59.82</v>
      </c>
      <c r="H590">
        <f>G590 * B590</f>
        <v/>
      </c>
      <c r="I590" t="n">
        <v>12</v>
      </c>
      <c r="J590">
        <f>67 * B590</f>
        <v/>
      </c>
    </row>
    <row r="591" ht="12.8" customHeight="1" s="26">
      <c r="A591" s="49" t="inlineStr">
        <is>
          <t>94209</t>
        </is>
      </c>
      <c r="B591" s="49" t="inlineStr">
        <is>
          <t>-</t>
        </is>
      </c>
      <c r="C591" s="49" t="inlineStr">
        <is>
          <t>Rooibos green (Zelený) 70g ks</t>
        </is>
      </c>
      <c r="D591" s="49" t="n"/>
      <c r="E591" s="49" t="n"/>
      <c r="F591" s="49" t="inlineStr">
        <is>
          <t>8594056691135</t>
        </is>
      </c>
      <c r="G591" s="49" t="n">
        <v>56.25</v>
      </c>
      <c r="H591" s="49" t="n"/>
      <c r="I591" s="49" t="n">
        <v>12</v>
      </c>
      <c r="J591" s="49" t="n"/>
      <c r="K591" s="49" t="n"/>
    </row>
    <row r="592" ht="12.8" customHeight="1" s="26">
      <c r="A592" t="inlineStr">
        <is>
          <t>94210</t>
        </is>
      </c>
      <c r="B592" t="n">
        <v>0</v>
      </c>
      <c r="C592" t="inlineStr">
        <is>
          <t>Mate roasted pražené (Yerba mate) 70g ks</t>
        </is>
      </c>
      <c r="F592" t="inlineStr">
        <is>
          <t>8594056695720</t>
        </is>
      </c>
      <c r="G592" t="n">
        <v>41.96</v>
      </c>
      <c r="H592">
        <f>G592 * B592</f>
        <v/>
      </c>
      <c r="I592" t="n">
        <v>12</v>
      </c>
      <c r="J592">
        <f>47 * B592</f>
        <v/>
      </c>
    </row>
    <row r="593" ht="12.8" customHeight="1" s="26">
      <c r="A593" t="inlineStr">
        <is>
          <t>94211</t>
        </is>
      </c>
      <c r="B593" t="n">
        <v>0</v>
      </c>
      <c r="C593" t="inlineStr">
        <is>
          <t>Rakytník řešetlákový plod 50g ks</t>
        </is>
      </c>
      <c r="F593" t="inlineStr">
        <is>
          <t>8594056694181</t>
        </is>
      </c>
      <c r="G593" t="n">
        <v>52.68</v>
      </c>
      <c r="H593">
        <f>G593 * B593</f>
        <v/>
      </c>
      <c r="I593" t="n">
        <v>12</v>
      </c>
      <c r="J593">
        <f>59 * B593</f>
        <v/>
      </c>
    </row>
    <row r="594" ht="12.8" customHeight="1" s="26">
      <c r="A594" t="inlineStr">
        <is>
          <t>94212</t>
        </is>
      </c>
      <c r="B594" t="n">
        <v>0</v>
      </c>
      <c r="C594" t="inlineStr">
        <is>
          <t>Citronová tráva 40g ks</t>
        </is>
      </c>
      <c r="F594" t="inlineStr">
        <is>
          <t>8594056695751</t>
        </is>
      </c>
      <c r="G594" t="n">
        <v>37.5</v>
      </c>
      <c r="H594">
        <f>G594 * B594</f>
        <v/>
      </c>
      <c r="I594" t="n">
        <v>12</v>
      </c>
      <c r="J594">
        <f>42 * B594</f>
        <v/>
      </c>
    </row>
    <row r="595" ht="12.8" customHeight="1" s="26">
      <c r="A595" t="inlineStr">
        <is>
          <t>94214</t>
        </is>
      </c>
      <c r="B595" t="n">
        <v>0</v>
      </c>
      <c r="C595" t="inlineStr">
        <is>
          <t>Kotvičník zemní nať 50g ks</t>
        </is>
      </c>
      <c r="F595" t="inlineStr">
        <is>
          <t>8594056696307</t>
        </is>
      </c>
      <c r="G595" t="n">
        <v>40.18</v>
      </c>
      <c r="H595">
        <f>G595 * B595</f>
        <v/>
      </c>
      <c r="I595" t="n">
        <v>12</v>
      </c>
      <c r="J595">
        <f>45 * B595</f>
        <v/>
      </c>
    </row>
    <row r="596" ht="12.8" customHeight="1" s="26">
      <c r="A596" t="inlineStr">
        <is>
          <t>94215</t>
        </is>
      </c>
      <c r="B596" t="n">
        <v>0</v>
      </c>
      <c r="C596" t="inlineStr">
        <is>
          <t>Stévie cukrová-sladká tráva 40g ks</t>
        </is>
      </c>
      <c r="F596" t="inlineStr">
        <is>
          <t>8594056694808</t>
        </is>
      </c>
      <c r="G596" t="n">
        <v>41.07</v>
      </c>
      <c r="H596">
        <f>G596 * B596</f>
        <v/>
      </c>
      <c r="I596" t="n">
        <v>12</v>
      </c>
      <c r="J596">
        <f>46 * B596</f>
        <v/>
      </c>
    </row>
    <row r="597" ht="12.8" customHeight="1" s="26">
      <c r="A597" t="inlineStr">
        <is>
          <t>94220</t>
        </is>
      </c>
      <c r="B597" t="n">
        <v>0</v>
      </c>
      <c r="C597" t="inlineStr">
        <is>
          <t>Moringa olejodárná list 40g ks</t>
        </is>
      </c>
      <c r="F597" t="inlineStr">
        <is>
          <t>8594056691241</t>
        </is>
      </c>
      <c r="G597" t="n">
        <v>98.20999999999999</v>
      </c>
      <c r="H597">
        <f>G597 * B597</f>
        <v/>
      </c>
      <c r="I597" t="n">
        <v>12</v>
      </c>
      <c r="J597">
        <f>110 * B597</f>
        <v/>
      </c>
    </row>
    <row r="598" ht="12.8" customHeight="1" s="26">
      <c r="A598" s="48" t="inlineStr">
        <is>
          <t>Čaje sypané, Byliny, koření jednodruhové sypané</t>
        </is>
      </c>
      <c r="B598" s="48" t="inlineStr"/>
      <c r="C598" s="48" t="inlineStr"/>
      <c r="D598" s="48" t="inlineStr"/>
      <c r="E598" s="48" t="inlineStr"/>
      <c r="F598" s="48" t="inlineStr"/>
      <c r="G598" s="48" t="inlineStr"/>
      <c r="H598" s="48" t="inlineStr"/>
      <c r="I598" s="48" t="inlineStr"/>
      <c r="J598" s="48" t="inlineStr"/>
      <c r="K598" s="48" t="n"/>
    </row>
    <row r="599" ht="12.8" customHeight="1" s="26">
      <c r="A599" t="inlineStr">
        <is>
          <t>96001</t>
        </is>
      </c>
      <c r="B599" t="n">
        <v>0</v>
      </c>
      <c r="C599" t="inlineStr">
        <is>
          <t>Akát trnovník květ 20g ks</t>
        </is>
      </c>
      <c r="F599" t="inlineStr">
        <is>
          <t>8594056694006</t>
        </is>
      </c>
      <c r="G599" t="n">
        <v>25</v>
      </c>
      <c r="H599">
        <f>G599 * B599</f>
        <v/>
      </c>
      <c r="I599" t="n">
        <v>12</v>
      </c>
      <c r="J599">
        <f>28 * B599</f>
        <v/>
      </c>
    </row>
    <row r="600" ht="12.8" customHeight="1" s="26">
      <c r="A600" t="inlineStr">
        <is>
          <t>96003</t>
        </is>
      </c>
      <c r="B600" t="n">
        <v>0</v>
      </c>
      <c r="C600" t="inlineStr">
        <is>
          <t>Andělika lékařská kořen 50g ks</t>
        </is>
      </c>
      <c r="F600" t="inlineStr">
        <is>
          <t>8594056694563</t>
        </is>
      </c>
      <c r="G600" t="n">
        <v>45.54</v>
      </c>
      <c r="H600">
        <f>G600 * B600</f>
        <v/>
      </c>
      <c r="I600" t="n">
        <v>12</v>
      </c>
      <c r="J600">
        <f>51 * B600</f>
        <v/>
      </c>
    </row>
    <row r="601" ht="12.8" customHeight="1" s="26">
      <c r="A601" t="inlineStr">
        <is>
          <t>96004</t>
        </is>
      </c>
      <c r="B601" t="n">
        <v>0</v>
      </c>
      <c r="C601" t="inlineStr">
        <is>
          <t>Andělika lékařská plod 50g ks</t>
        </is>
      </c>
      <c r="F601" t="inlineStr">
        <is>
          <t>8594056693993</t>
        </is>
      </c>
      <c r="G601" t="n">
        <v>70.54000000000001</v>
      </c>
      <c r="H601">
        <f>G601 * B601</f>
        <v/>
      </c>
      <c r="I601" t="n">
        <v>12</v>
      </c>
      <c r="J601">
        <f>79 * B601</f>
        <v/>
      </c>
    </row>
    <row r="602" ht="12.8" customHeight="1" s="26">
      <c r="A602" t="inlineStr">
        <is>
          <t>96006</t>
        </is>
      </c>
      <c r="B602" t="n">
        <v>0</v>
      </c>
      <c r="C602" t="inlineStr">
        <is>
          <t>Anýz vonný plod 100g ks</t>
        </is>
      </c>
      <c r="F602" t="inlineStr">
        <is>
          <t>8594056694013</t>
        </is>
      </c>
      <c r="G602" t="n">
        <v>57.14</v>
      </c>
      <c r="H602">
        <f>G602 * B602</f>
        <v/>
      </c>
      <c r="I602" t="n">
        <v>12</v>
      </c>
      <c r="J602">
        <f>64 * B602</f>
        <v/>
      </c>
    </row>
    <row r="603" ht="12.8" customHeight="1" s="26">
      <c r="A603" t="inlineStr">
        <is>
          <t>96007</t>
        </is>
      </c>
      <c r="B603" t="n">
        <v>0</v>
      </c>
      <c r="C603" t="inlineStr">
        <is>
          <t>Arnika horská květ 20g ks</t>
        </is>
      </c>
      <c r="F603" t="inlineStr">
        <is>
          <t>8594056694020</t>
        </is>
      </c>
      <c r="G603" t="n">
        <v>46.43</v>
      </c>
      <c r="H603">
        <f>G603 * B603</f>
        <v/>
      </c>
      <c r="I603" t="n">
        <v>12</v>
      </c>
      <c r="J603">
        <f>52 * B603</f>
        <v/>
      </c>
    </row>
    <row r="604" ht="12.8" customHeight="1" s="26">
      <c r="A604" s="49" t="inlineStr">
        <is>
          <t>96008</t>
        </is>
      </c>
      <c r="B604" s="49" t="inlineStr">
        <is>
          <t>-</t>
        </is>
      </c>
      <c r="C604" s="49" t="inlineStr">
        <is>
          <t>Artyčok kardový nať 50g ks</t>
        </is>
      </c>
      <c r="D604" s="49" t="n"/>
      <c r="E604" s="49" t="n"/>
      <c r="F604" s="49" t="inlineStr">
        <is>
          <t>8594056694839</t>
        </is>
      </c>
      <c r="G604" s="49" t="n">
        <v>33.93</v>
      </c>
      <c r="H604" s="49" t="n"/>
      <c r="I604" s="49" t="n">
        <v>12</v>
      </c>
      <c r="J604" s="49" t="n"/>
      <c r="K604" s="49" t="n"/>
    </row>
    <row r="605" ht="12.8" customHeight="1" s="26">
      <c r="A605" t="inlineStr">
        <is>
          <t>96009</t>
        </is>
      </c>
      <c r="B605" t="n">
        <v>0</v>
      </c>
      <c r="C605" t="inlineStr">
        <is>
          <t>Badyán pravý plod celý 50g ks</t>
        </is>
      </c>
      <c r="F605" t="inlineStr">
        <is>
          <t>8594056694846</t>
        </is>
      </c>
      <c r="G605" t="n">
        <v>57.14</v>
      </c>
      <c r="H605">
        <f>G605 * B605</f>
        <v/>
      </c>
      <c r="I605" t="n">
        <v>12</v>
      </c>
      <c r="J605">
        <f>64 * B605</f>
        <v/>
      </c>
    </row>
    <row r="606" ht="12.8" customHeight="1" s="26">
      <c r="A606" s="49" t="inlineStr">
        <is>
          <t>960091</t>
        </is>
      </c>
      <c r="B606" s="49" t="inlineStr">
        <is>
          <t>-</t>
        </is>
      </c>
      <c r="C606" s="49" t="inlineStr">
        <is>
          <t>Badyán pravý plod mletý 100g ks</t>
        </is>
      </c>
      <c r="D606" s="49" t="n"/>
      <c r="E606" s="49" t="n"/>
      <c r="F606" s="49" t="inlineStr">
        <is>
          <t>8594056696697</t>
        </is>
      </c>
      <c r="G606" s="49" t="n">
        <v>91.95999999999999</v>
      </c>
      <c r="H606" s="49" t="n"/>
      <c r="I606" s="49" t="n">
        <v>12</v>
      </c>
      <c r="J606" s="49" t="n"/>
      <c r="K606" s="49" t="n"/>
    </row>
    <row r="607" ht="12.8" customHeight="1" s="26">
      <c r="A607" t="inlineStr">
        <is>
          <t>96010</t>
        </is>
      </c>
      <c r="B607" t="n">
        <v>0</v>
      </c>
      <c r="C607" t="inlineStr">
        <is>
          <t>Bazalka pravá nať 50g ks</t>
        </is>
      </c>
      <c r="F607" t="inlineStr">
        <is>
          <t>8594056694051</t>
        </is>
      </c>
      <c r="G607" t="n">
        <v>29.46</v>
      </c>
      <c r="H607">
        <f>G607 * B607</f>
        <v/>
      </c>
      <c r="I607" t="n">
        <v>12</v>
      </c>
      <c r="J607">
        <f>33 * B607</f>
        <v/>
      </c>
    </row>
    <row r="608" ht="12.8" customHeight="1" s="26">
      <c r="A608" t="inlineStr">
        <is>
          <t>96011</t>
        </is>
      </c>
      <c r="B608" t="n">
        <v>0</v>
      </c>
      <c r="C608" t="inlineStr">
        <is>
          <t>Bedrník obecný kořen 50g ks</t>
        </is>
      </c>
      <c r="F608" t="inlineStr">
        <is>
          <t>8594056696413</t>
        </is>
      </c>
      <c r="G608" t="n">
        <v>65.18000000000001</v>
      </c>
      <c r="H608">
        <f>G608 * B608</f>
        <v/>
      </c>
      <c r="I608" t="n">
        <v>12</v>
      </c>
      <c r="J608">
        <f>73 * B608</f>
        <v/>
      </c>
    </row>
    <row r="609" ht="12.8" customHeight="1" s="26">
      <c r="A609" t="inlineStr">
        <is>
          <t>96012</t>
        </is>
      </c>
      <c r="B609" t="n">
        <v>0</v>
      </c>
      <c r="C609" t="inlineStr">
        <is>
          <t>Bedrník obecný nať 50g ks</t>
        </is>
      </c>
      <c r="F609" t="inlineStr">
        <is>
          <t>8594056694068</t>
        </is>
      </c>
      <c r="G609" t="n">
        <v>42.86</v>
      </c>
      <c r="H609">
        <f>G609 * B609</f>
        <v/>
      </c>
      <c r="I609" t="n">
        <v>12</v>
      </c>
      <c r="J609">
        <f>48 * B609</f>
        <v/>
      </c>
    </row>
    <row r="610" ht="12.8" customHeight="1" s="26">
      <c r="A610" t="inlineStr">
        <is>
          <t>96013</t>
        </is>
      </c>
      <c r="B610" t="n">
        <v>0</v>
      </c>
      <c r="C610" t="inlineStr">
        <is>
          <t>Benedikt čubet nať 40g ks</t>
        </is>
      </c>
      <c r="F610" t="inlineStr">
        <is>
          <t>8594056696406</t>
        </is>
      </c>
      <c r="G610" t="n">
        <v>32.14</v>
      </c>
      <c r="H610">
        <f>G610 * B610</f>
        <v/>
      </c>
      <c r="I610" t="n">
        <v>12</v>
      </c>
      <c r="J610">
        <f>36 * B610</f>
        <v/>
      </c>
    </row>
    <row r="611" ht="12.8" customHeight="1" s="26">
      <c r="A611" t="inlineStr">
        <is>
          <t>96014</t>
        </is>
      </c>
      <c r="B611" t="n">
        <v>0</v>
      </c>
      <c r="C611" t="inlineStr">
        <is>
          <t>Bez černý květ 40g ks</t>
        </is>
      </c>
      <c r="F611" t="inlineStr">
        <is>
          <t>8594056693542</t>
        </is>
      </c>
      <c r="G611" t="n">
        <v>35.71</v>
      </c>
      <c r="H611">
        <f>G611 * B611</f>
        <v/>
      </c>
      <c r="I611" t="n">
        <v>12</v>
      </c>
      <c r="J611">
        <f>40 * B611</f>
        <v/>
      </c>
    </row>
    <row r="612" ht="12.8" customHeight="1" s="26">
      <c r="A612" t="inlineStr">
        <is>
          <t>96015</t>
        </is>
      </c>
      <c r="B612" t="n">
        <v>0</v>
      </c>
      <c r="C612" t="inlineStr">
        <is>
          <t>Bez černý plod celý 50g ks</t>
        </is>
      </c>
      <c r="F612" t="inlineStr">
        <is>
          <t>8594056696420</t>
        </is>
      </c>
      <c r="G612" t="n">
        <v>37.5</v>
      </c>
      <c r="H612">
        <f>G612 * B612</f>
        <v/>
      </c>
      <c r="I612" t="n">
        <v>12</v>
      </c>
      <c r="J612">
        <f>42 * B612</f>
        <v/>
      </c>
    </row>
    <row r="613" ht="12.8" customHeight="1" s="26">
      <c r="A613" t="inlineStr">
        <is>
          <t>960151</t>
        </is>
      </c>
      <c r="B613" t="n">
        <v>0</v>
      </c>
      <c r="C613" t="inlineStr">
        <is>
          <t>Bobkový list celý (Vavřín ušlechtilý) 15g ks</t>
        </is>
      </c>
      <c r="F613" t="inlineStr">
        <is>
          <t>8594056696833</t>
        </is>
      </c>
      <c r="G613" t="n">
        <v>19.64</v>
      </c>
      <c r="H613">
        <f>G613 * B613</f>
        <v/>
      </c>
      <c r="I613" t="n">
        <v>12</v>
      </c>
      <c r="J613">
        <f>22 * B613</f>
        <v/>
      </c>
    </row>
    <row r="614" ht="12.8" customHeight="1" s="26">
      <c r="A614" t="inlineStr">
        <is>
          <t>960152</t>
        </is>
      </c>
      <c r="B614" t="n">
        <v>0</v>
      </c>
      <c r="C614" t="inlineStr">
        <is>
          <t>Bobkový list mletý (Vavřín ušlechtilý) 50g ks</t>
        </is>
      </c>
      <c r="F614" t="inlineStr">
        <is>
          <t>8594056696840</t>
        </is>
      </c>
      <c r="G614" t="n">
        <v>22.32</v>
      </c>
      <c r="H614">
        <f>G614 * B614</f>
        <v/>
      </c>
      <c r="I614" t="n">
        <v>12</v>
      </c>
      <c r="J614">
        <f>25 * B614</f>
        <v/>
      </c>
    </row>
    <row r="615" ht="12.8" customHeight="1" s="26">
      <c r="A615" t="inlineStr">
        <is>
          <t>96016</t>
        </is>
      </c>
      <c r="B615" t="n">
        <v>0</v>
      </c>
      <c r="C615" t="inlineStr">
        <is>
          <t>Boldovník (boldo) vonný list 50g ks</t>
        </is>
      </c>
      <c r="F615" t="inlineStr">
        <is>
          <t>8594056694464</t>
        </is>
      </c>
      <c r="G615" t="n">
        <v>38.39</v>
      </c>
      <c r="H615">
        <f>G615 * B615</f>
        <v/>
      </c>
      <c r="I615" t="n">
        <v>12</v>
      </c>
      <c r="J615">
        <f>43 * B615</f>
        <v/>
      </c>
    </row>
    <row r="616" ht="12.8" customHeight="1" s="26">
      <c r="A616" t="inlineStr">
        <is>
          <t>96017</t>
        </is>
      </c>
      <c r="B616" t="n">
        <v>0</v>
      </c>
      <c r="C616" t="inlineStr">
        <is>
          <t>Borůvka černá (brusnice) nať 40g ks</t>
        </is>
      </c>
      <c r="F616" t="inlineStr">
        <is>
          <t>8594056693573</t>
        </is>
      </c>
      <c r="G616" t="n">
        <v>32.14</v>
      </c>
      <c r="H616">
        <f>G616 * B616</f>
        <v/>
      </c>
      <c r="I616" t="n">
        <v>12</v>
      </c>
      <c r="J616">
        <f>36 * B616</f>
        <v/>
      </c>
    </row>
    <row r="617" ht="12.8" customHeight="1" s="26">
      <c r="A617" s="49" t="inlineStr">
        <is>
          <t>96018</t>
        </is>
      </c>
      <c r="B617" s="49" t="inlineStr">
        <is>
          <t>-</t>
        </is>
      </c>
      <c r="C617" s="49" t="inlineStr">
        <is>
          <t>Borůvka černá (brusnice) plod 50g ks</t>
        </is>
      </c>
      <c r="D617" s="49" t="n"/>
      <c r="E617" s="49" t="n"/>
      <c r="F617" s="49" t="inlineStr">
        <is>
          <t>8594056696338</t>
        </is>
      </c>
      <c r="G617" s="49" t="n">
        <v>86.61</v>
      </c>
      <c r="H617" s="49" t="n"/>
      <c r="I617" s="49" t="n">
        <v>12</v>
      </c>
      <c r="J617" s="49" t="n"/>
      <c r="K617" s="49" t="n"/>
    </row>
    <row r="618" ht="12.8" customHeight="1" s="26">
      <c r="A618" t="inlineStr">
        <is>
          <t>96019</t>
        </is>
      </c>
      <c r="B618" t="n">
        <v>0</v>
      </c>
      <c r="C618" t="inlineStr">
        <is>
          <t>Brusinka obecná (brusnice) list 50g ks</t>
        </is>
      </c>
      <c r="F618" t="inlineStr">
        <is>
          <t>8594056693092</t>
        </is>
      </c>
      <c r="G618" t="n">
        <v>40.18</v>
      </c>
      <c r="H618">
        <f>G618 * B618</f>
        <v/>
      </c>
      <c r="I618" t="n">
        <v>12</v>
      </c>
      <c r="J618">
        <f>45 * B618</f>
        <v/>
      </c>
    </row>
    <row r="619" ht="12.8" customHeight="1" s="26">
      <c r="A619" t="inlineStr">
        <is>
          <t>96020</t>
        </is>
      </c>
      <c r="B619" t="n">
        <v>0</v>
      </c>
      <c r="C619" t="inlineStr">
        <is>
          <t>Brutnák lékařský nať 40g ks</t>
        </is>
      </c>
      <c r="F619" t="inlineStr">
        <is>
          <t>8594056694471</t>
        </is>
      </c>
      <c r="G619" t="n">
        <v>34.82</v>
      </c>
      <c r="H619">
        <f>G619 * B619</f>
        <v/>
      </c>
      <c r="I619" t="n">
        <v>12</v>
      </c>
      <c r="J619">
        <f>39 * B619</f>
        <v/>
      </c>
    </row>
    <row r="620" ht="12.8" customHeight="1" s="26">
      <c r="A620" t="inlineStr">
        <is>
          <t>960201</t>
        </is>
      </c>
      <c r="B620" t="n">
        <v>0</v>
      </c>
      <c r="C620" t="inlineStr">
        <is>
          <t>Břečťan popínavý list 40g ks</t>
        </is>
      </c>
      <c r="F620" t="inlineStr">
        <is>
          <t>8594056696604</t>
        </is>
      </c>
      <c r="G620" t="n">
        <v>37.5</v>
      </c>
      <c r="H620">
        <f>G620 * B620</f>
        <v/>
      </c>
      <c r="I620" t="n">
        <v>12</v>
      </c>
      <c r="J620">
        <f>42 * B620</f>
        <v/>
      </c>
    </row>
    <row r="621" ht="12.8" customHeight="1" s="26">
      <c r="A621" t="inlineStr">
        <is>
          <t>96021</t>
        </is>
      </c>
      <c r="B621" t="n">
        <v>0</v>
      </c>
      <c r="C621" t="inlineStr">
        <is>
          <t>Bříza bělokorá list 40g ks</t>
        </is>
      </c>
      <c r="F621" t="inlineStr">
        <is>
          <t>8594056693528</t>
        </is>
      </c>
      <c r="G621" t="n">
        <v>33.04</v>
      </c>
      <c r="H621">
        <f>G621 * B621</f>
        <v/>
      </c>
      <c r="I621" t="n">
        <v>12</v>
      </c>
      <c r="J621">
        <f>37 * B621</f>
        <v/>
      </c>
    </row>
    <row r="622" ht="12.8" customHeight="1" s="26">
      <c r="A622" t="inlineStr">
        <is>
          <t>96023</t>
        </is>
      </c>
      <c r="B622" t="n">
        <v>0</v>
      </c>
      <c r="C622" t="inlineStr">
        <is>
          <t>Bukvice lékařská nať 50g ks</t>
        </is>
      </c>
      <c r="F622" t="inlineStr">
        <is>
          <t>8594056693849</t>
        </is>
      </c>
      <c r="G622" t="n">
        <v>33.93</v>
      </c>
      <c r="H622">
        <f>G622 * B622</f>
        <v/>
      </c>
      <c r="I622" t="n">
        <v>12</v>
      </c>
      <c r="J622">
        <f>38 * B622</f>
        <v/>
      </c>
    </row>
    <row r="623" ht="12.8" customHeight="1" s="26">
      <c r="A623" t="inlineStr">
        <is>
          <t>96024</t>
        </is>
      </c>
      <c r="B623" t="n">
        <v>0</v>
      </c>
      <c r="C623" t="inlineStr">
        <is>
          <t>Citroník pravý oplodí 50g ks</t>
        </is>
      </c>
      <c r="F623" t="inlineStr">
        <is>
          <t>8594056694860</t>
        </is>
      </c>
      <c r="G623" t="n">
        <v>36.61</v>
      </c>
      <c r="H623">
        <f>G623 * B623</f>
        <v/>
      </c>
      <c r="I623" t="n">
        <v>12</v>
      </c>
      <c r="J623">
        <f>41 * B623</f>
        <v/>
      </c>
    </row>
    <row r="624" ht="12.8" customHeight="1" s="26">
      <c r="A624" t="inlineStr">
        <is>
          <t>960251</t>
        </is>
      </c>
      <c r="B624" t="n">
        <v>0</v>
      </c>
      <c r="C624" t="inlineStr">
        <is>
          <t>Čechřice vonná kořen 50g ks</t>
        </is>
      </c>
      <c r="F624" t="inlineStr">
        <is>
          <t>8594056696444</t>
        </is>
      </c>
      <c r="G624" t="n">
        <v>40.18</v>
      </c>
      <c r="H624">
        <f>G624 * B624</f>
        <v/>
      </c>
      <c r="I624" t="n">
        <v>12</v>
      </c>
      <c r="J624">
        <f>45 * B624</f>
        <v/>
      </c>
    </row>
    <row r="625" ht="12.8" customHeight="1" s="26">
      <c r="A625" t="inlineStr">
        <is>
          <t>96026</t>
        </is>
      </c>
      <c r="B625" t="n">
        <v>0</v>
      </c>
      <c r="C625" t="inlineStr">
        <is>
          <t>Čekanka obecná kořen 50g ks</t>
        </is>
      </c>
      <c r="F625" t="inlineStr">
        <is>
          <t>8594056693900</t>
        </is>
      </c>
      <c r="G625" t="n">
        <v>28.57</v>
      </c>
      <c r="H625">
        <f>G625 * B625</f>
        <v/>
      </c>
      <c r="I625" t="n">
        <v>12</v>
      </c>
      <c r="J625">
        <f>32 * B625</f>
        <v/>
      </c>
    </row>
    <row r="626" ht="12.8" customHeight="1" s="26">
      <c r="A626" t="inlineStr">
        <is>
          <t>960261</t>
        </is>
      </c>
      <c r="B626" t="n">
        <v>0</v>
      </c>
      <c r="C626" t="inlineStr">
        <is>
          <t>Cikorka od miloty (čekanka pražená kořen mletý) 150g ks</t>
        </is>
      </c>
      <c r="F626" t="inlineStr">
        <is>
          <t>8594056696611</t>
        </is>
      </c>
      <c r="G626" t="n">
        <v>46.43</v>
      </c>
      <c r="H626">
        <f>G626 * B626</f>
        <v/>
      </c>
      <c r="I626" t="n">
        <v>12</v>
      </c>
      <c r="J626">
        <f>52 * B626</f>
        <v/>
      </c>
    </row>
    <row r="627" ht="12.8" customHeight="1" s="26">
      <c r="A627" t="inlineStr">
        <is>
          <t>960262</t>
        </is>
      </c>
      <c r="B627" t="n">
        <v>0</v>
      </c>
      <c r="C627" t="inlineStr">
        <is>
          <t>Cikorka od miloty (čekanka pražená kořen celý) 100g ks</t>
        </is>
      </c>
      <c r="F627" t="inlineStr">
        <is>
          <t>8594056696628</t>
        </is>
      </c>
      <c r="G627" t="n">
        <v>40.18</v>
      </c>
      <c r="H627">
        <f>G627 * B627</f>
        <v/>
      </c>
      <c r="I627" t="n">
        <v>12</v>
      </c>
      <c r="J627">
        <f>45 * B627</f>
        <v/>
      </c>
    </row>
    <row r="628" ht="12.8" customHeight="1" s="26">
      <c r="A628" t="inlineStr">
        <is>
          <t>96027</t>
        </is>
      </c>
      <c r="B628" t="n">
        <v>0</v>
      </c>
      <c r="C628" t="inlineStr">
        <is>
          <t>Čekanka obecná nať 50g ks</t>
        </is>
      </c>
      <c r="F628" t="inlineStr">
        <is>
          <t>8594056693382</t>
        </is>
      </c>
      <c r="G628" t="n">
        <v>31.25</v>
      </c>
      <c r="H628">
        <f>G628 * B628</f>
        <v/>
      </c>
      <c r="I628" t="n">
        <v>12</v>
      </c>
      <c r="J628">
        <f>35 * B628</f>
        <v/>
      </c>
    </row>
    <row r="629" ht="12.8" customHeight="1" s="26">
      <c r="A629" t="inlineStr">
        <is>
          <t>96030</t>
        </is>
      </c>
      <c r="B629" t="n">
        <v>0</v>
      </c>
      <c r="C629" t="inlineStr">
        <is>
          <t>Červená řepa kořen 50g ks</t>
        </is>
      </c>
      <c r="F629" t="inlineStr">
        <is>
          <t>8594056694907</t>
        </is>
      </c>
      <c r="G629" t="n">
        <v>33.04</v>
      </c>
      <c r="H629">
        <f>G629 * B629</f>
        <v/>
      </c>
      <c r="I629" t="n">
        <v>12</v>
      </c>
      <c r="J629">
        <f>37 * B629</f>
        <v/>
      </c>
    </row>
    <row r="630" ht="12.8" customHeight="1" s="26">
      <c r="A630" t="inlineStr">
        <is>
          <t>96031</t>
        </is>
      </c>
      <c r="B630" t="n">
        <v>0</v>
      </c>
      <c r="C630" t="inlineStr">
        <is>
          <t>Česnek medvědí list 40g ks</t>
        </is>
      </c>
      <c r="F630" t="inlineStr">
        <is>
          <t>8594056696512</t>
        </is>
      </c>
      <c r="G630" t="n">
        <v>37.5</v>
      </c>
      <c r="H630">
        <f>G630 * B630</f>
        <v/>
      </c>
      <c r="I630" t="n">
        <v>12</v>
      </c>
      <c r="J630">
        <f>42 * B630</f>
        <v/>
      </c>
    </row>
    <row r="631" ht="12.8" customHeight="1" s="26">
      <c r="A631" s="49" t="inlineStr">
        <is>
          <t>96032</t>
        </is>
      </c>
      <c r="B631" s="49" t="inlineStr">
        <is>
          <t>-</t>
        </is>
      </c>
      <c r="C631" s="49" t="inlineStr">
        <is>
          <t>Damiána mexická list 50g ks</t>
        </is>
      </c>
      <c r="D631" s="49" t="n"/>
      <c r="E631" s="49" t="n"/>
      <c r="F631" s="49" t="inlineStr">
        <is>
          <t>8594056694921</t>
        </is>
      </c>
      <c r="G631" s="49" t="n">
        <v>48.21</v>
      </c>
      <c r="H631" s="49" t="n"/>
      <c r="I631" s="49" t="n">
        <v>12</v>
      </c>
      <c r="J631" s="49" t="n"/>
      <c r="K631" s="49" t="n"/>
    </row>
    <row r="632" ht="12.8" customHeight="1" s="26">
      <c r="A632" t="inlineStr">
        <is>
          <t>96033</t>
        </is>
      </c>
      <c r="B632" t="n">
        <v>0</v>
      </c>
      <c r="C632" t="inlineStr">
        <is>
          <t>Devětsil lékařský kořen 50g ks</t>
        </is>
      </c>
      <c r="F632" t="inlineStr">
        <is>
          <t>8594056693924</t>
        </is>
      </c>
      <c r="G632" t="n">
        <v>58.93</v>
      </c>
      <c r="H632">
        <f>G632 * B632</f>
        <v/>
      </c>
      <c r="I632" t="n">
        <v>12</v>
      </c>
      <c r="J632">
        <f>66 * B632</f>
        <v/>
      </c>
    </row>
    <row r="633" ht="12.8" customHeight="1" s="26">
      <c r="A633" t="inlineStr">
        <is>
          <t>96034</t>
        </is>
      </c>
      <c r="B633" t="n">
        <v>0</v>
      </c>
      <c r="C633" t="inlineStr">
        <is>
          <t>Devětsil lékařský list 40g ks</t>
        </is>
      </c>
      <c r="F633" t="inlineStr">
        <is>
          <t>8594056693948</t>
        </is>
      </c>
      <c r="G633" t="n">
        <v>40.18</v>
      </c>
      <c r="H633">
        <f>G633 * B633</f>
        <v/>
      </c>
      <c r="I633" t="n">
        <v>12</v>
      </c>
      <c r="J633">
        <f>45 * B633</f>
        <v/>
      </c>
    </row>
    <row r="634" ht="12.8" customHeight="1" s="26">
      <c r="A634" t="inlineStr">
        <is>
          <t>96035</t>
        </is>
      </c>
      <c r="B634" t="n">
        <v>0</v>
      </c>
      <c r="C634" t="inlineStr">
        <is>
          <t>Divizna obecná květ 20g ks</t>
        </is>
      </c>
      <c r="F634" t="inlineStr">
        <is>
          <t>8594056693214</t>
        </is>
      </c>
      <c r="G634" t="n">
        <v>33.04</v>
      </c>
      <c r="H634">
        <f>G634 * B634</f>
        <v/>
      </c>
      <c r="I634" t="n">
        <v>12</v>
      </c>
      <c r="J634">
        <f>37 * B634</f>
        <v/>
      </c>
    </row>
    <row r="635" ht="12.8" customHeight="1" s="26">
      <c r="A635" t="inlineStr">
        <is>
          <t>96036</t>
        </is>
      </c>
      <c r="B635" t="n">
        <v>0</v>
      </c>
      <c r="C635" t="inlineStr">
        <is>
          <t>Dobromysl obecná nať 50g ks</t>
        </is>
      </c>
      <c r="F635" t="inlineStr">
        <is>
          <t>8594056693375</t>
        </is>
      </c>
      <c r="G635" t="n">
        <v>33.93</v>
      </c>
      <c r="H635">
        <f>G635 * B635</f>
        <v/>
      </c>
      <c r="I635" t="n">
        <v>12</v>
      </c>
      <c r="J635">
        <f>38 * B635</f>
        <v/>
      </c>
    </row>
    <row r="636" ht="12.8" customHeight="1" s="26">
      <c r="A636" t="inlineStr">
        <is>
          <t>96037</t>
        </is>
      </c>
      <c r="B636" t="n">
        <v>0</v>
      </c>
      <c r="C636" t="inlineStr">
        <is>
          <t>Drmek obecný plod 100g ks</t>
        </is>
      </c>
      <c r="F636" t="inlineStr">
        <is>
          <t>8594056694938</t>
        </is>
      </c>
      <c r="G636" t="n">
        <v>40.18</v>
      </c>
      <c r="H636">
        <f>G636 * B636</f>
        <v/>
      </c>
      <c r="I636" t="n">
        <v>12</v>
      </c>
      <c r="J636">
        <f>45 * B636</f>
        <v/>
      </c>
    </row>
    <row r="637" ht="12.8" customHeight="1" s="26">
      <c r="A637" t="inlineStr">
        <is>
          <t>96038</t>
        </is>
      </c>
      <c r="B637" t="n">
        <v>0</v>
      </c>
      <c r="C637" t="inlineStr">
        <is>
          <t>Dub letní kůra 50g ks</t>
        </is>
      </c>
      <c r="F637" t="inlineStr">
        <is>
          <t>8594056693979</t>
        </is>
      </c>
      <c r="G637" t="n">
        <v>22.32</v>
      </c>
      <c r="H637">
        <f>G637 * B637</f>
        <v/>
      </c>
      <c r="I637" t="n">
        <v>12</v>
      </c>
      <c r="J637">
        <f>25 * B637</f>
        <v/>
      </c>
    </row>
    <row r="638" ht="12.8" customHeight="1" s="26">
      <c r="A638" t="inlineStr">
        <is>
          <t>96040</t>
        </is>
      </c>
      <c r="B638" t="n">
        <v>0</v>
      </c>
      <c r="C638" t="inlineStr">
        <is>
          <t>Echinacea (Rudbeckie nachová) kořen 50g ks</t>
        </is>
      </c>
      <c r="F638" t="inlineStr">
        <is>
          <t>8594056693931</t>
        </is>
      </c>
      <c r="G638" t="n">
        <v>50</v>
      </c>
      <c r="H638">
        <f>G638 * B638</f>
        <v/>
      </c>
      <c r="I638" t="n">
        <v>12</v>
      </c>
      <c r="J638">
        <f>56 * B638</f>
        <v/>
      </c>
    </row>
    <row r="639" ht="12.8" customHeight="1" s="26">
      <c r="A639" t="inlineStr">
        <is>
          <t>96041</t>
        </is>
      </c>
      <c r="B639" t="n">
        <v>0</v>
      </c>
      <c r="C639" t="inlineStr">
        <is>
          <t>Echinacea (Rudbeckie nachová) květ 40g ks</t>
        </is>
      </c>
      <c r="F639" t="inlineStr">
        <is>
          <t>8594056693610</t>
        </is>
      </c>
      <c r="G639" t="n">
        <v>40.18</v>
      </c>
      <c r="H639">
        <f>G639 * B639</f>
        <v/>
      </c>
      <c r="I639" t="n">
        <v>12</v>
      </c>
      <c r="J639">
        <f>45 * B639</f>
        <v/>
      </c>
    </row>
    <row r="640" ht="12.8" customHeight="1" s="26">
      <c r="A640" t="inlineStr">
        <is>
          <t>96042</t>
        </is>
      </c>
      <c r="B640" t="n">
        <v>0</v>
      </c>
      <c r="C640" t="inlineStr">
        <is>
          <t>Echinacea (Rudbeckie nachová) nať 50g ks</t>
        </is>
      </c>
      <c r="F640" t="inlineStr">
        <is>
          <t>8594056693757</t>
        </is>
      </c>
      <c r="G640" t="n">
        <v>31.25</v>
      </c>
      <c r="H640">
        <f>G640 * B640</f>
        <v/>
      </c>
      <c r="I640" t="n">
        <v>12</v>
      </c>
      <c r="J640">
        <f>35 * B640</f>
        <v/>
      </c>
    </row>
    <row r="641" ht="12.8" customHeight="1" s="26">
      <c r="A641" t="inlineStr">
        <is>
          <t>96043</t>
        </is>
      </c>
      <c r="B641" t="n">
        <v>0</v>
      </c>
      <c r="C641" t="inlineStr">
        <is>
          <t>Eleuterokok ostnatý kořen 40g ks</t>
        </is>
      </c>
      <c r="F641" t="inlineStr">
        <is>
          <t>8594056693474</t>
        </is>
      </c>
      <c r="G641" t="n">
        <v>40.18</v>
      </c>
      <c r="H641">
        <f>G641 * B641</f>
        <v/>
      </c>
      <c r="I641" t="n">
        <v>12</v>
      </c>
      <c r="J641">
        <f>45 * B641</f>
        <v/>
      </c>
    </row>
    <row r="642" ht="12.8" customHeight="1" s="26">
      <c r="A642" t="inlineStr">
        <is>
          <t>960431</t>
        </is>
      </c>
      <c r="B642" t="n">
        <v>0</v>
      </c>
      <c r="C642" t="inlineStr">
        <is>
          <t>Estragon list (Pelyněk kozalec) 40g ks</t>
        </is>
      </c>
      <c r="F642" t="inlineStr">
        <is>
          <t>8594056696857</t>
        </is>
      </c>
      <c r="G642" t="n">
        <v>25</v>
      </c>
      <c r="H642">
        <f>G642 * B642</f>
        <v/>
      </c>
      <c r="I642" t="n">
        <v>12</v>
      </c>
      <c r="J642">
        <f>28 * B642</f>
        <v/>
      </c>
    </row>
    <row r="643" ht="12.8" customHeight="1" s="26">
      <c r="A643" t="inlineStr">
        <is>
          <t>96044</t>
        </is>
      </c>
      <c r="B643" t="n">
        <v>0</v>
      </c>
      <c r="C643" t="inlineStr">
        <is>
          <t>Eukalyptus (Blahovičník kulatoplodý) list 50g ks</t>
        </is>
      </c>
      <c r="F643" t="inlineStr">
        <is>
          <t>8594056693764</t>
        </is>
      </c>
      <c r="G643" t="n">
        <v>34.82</v>
      </c>
      <c r="H643">
        <f>G643 * B643</f>
        <v/>
      </c>
      <c r="I643" t="n">
        <v>12</v>
      </c>
      <c r="J643">
        <f>39 * B643</f>
        <v/>
      </c>
    </row>
    <row r="644" ht="12.8" customHeight="1" s="26">
      <c r="A644" t="inlineStr">
        <is>
          <t>96045</t>
        </is>
      </c>
      <c r="B644" t="n">
        <v>0</v>
      </c>
      <c r="C644" t="inlineStr">
        <is>
          <t>Fazole obecná plod bez semen 40g ks</t>
        </is>
      </c>
      <c r="F644" t="inlineStr">
        <is>
          <t>8594056693771</t>
        </is>
      </c>
      <c r="G644" t="n">
        <v>22.32</v>
      </c>
      <c r="H644">
        <f>G644 * B644</f>
        <v/>
      </c>
      <c r="I644" t="n">
        <v>12</v>
      </c>
      <c r="J644">
        <f>25 * B644</f>
        <v/>
      </c>
    </row>
    <row r="645" ht="12.8" customHeight="1" s="26">
      <c r="A645" t="inlineStr">
        <is>
          <t>96046</t>
        </is>
      </c>
      <c r="B645" t="n">
        <v>0</v>
      </c>
      <c r="C645" t="inlineStr">
        <is>
          <t>Fenykl obecný plod 100g ks</t>
        </is>
      </c>
      <c r="F645" t="inlineStr">
        <is>
          <t>8594056690589</t>
        </is>
      </c>
      <c r="G645" t="n">
        <v>39.29</v>
      </c>
      <c r="H645">
        <f>G645 * B645</f>
        <v/>
      </c>
      <c r="I645" t="n">
        <v>12</v>
      </c>
      <c r="J645">
        <f>44 * B645</f>
        <v/>
      </c>
    </row>
    <row r="646" ht="12.8" customHeight="1" s="26">
      <c r="A646" t="inlineStr">
        <is>
          <t>96047</t>
        </is>
      </c>
      <c r="B646" t="n">
        <v>0</v>
      </c>
      <c r="C646" t="inlineStr">
        <is>
          <t>Galgán lékařský oddenek 50g ks</t>
        </is>
      </c>
      <c r="F646" t="inlineStr">
        <is>
          <t>8594056696529</t>
        </is>
      </c>
      <c r="G646" t="n">
        <v>53.57</v>
      </c>
      <c r="H646">
        <f>G646 * B646</f>
        <v/>
      </c>
      <c r="I646" t="n">
        <v>12</v>
      </c>
      <c r="J646">
        <f>60 * B646</f>
        <v/>
      </c>
    </row>
    <row r="647" ht="12.8" customHeight="1" s="26">
      <c r="A647" s="49" t="inlineStr">
        <is>
          <t>96048</t>
        </is>
      </c>
      <c r="B647" s="49" t="inlineStr">
        <is>
          <t>-</t>
        </is>
      </c>
      <c r="C647" s="49" t="inlineStr">
        <is>
          <t>Guarana paulinia plod 50g ks</t>
        </is>
      </c>
      <c r="D647" s="49" t="n"/>
      <c r="E647" s="49" t="n"/>
      <c r="F647" s="49" t="inlineStr">
        <is>
          <t>8594056694952</t>
        </is>
      </c>
      <c r="G647" s="49" t="n">
        <v>62.5</v>
      </c>
      <c r="H647" s="49" t="n"/>
      <c r="I647" s="49" t="n">
        <v>12</v>
      </c>
      <c r="J647" s="49" t="n"/>
      <c r="K647" s="49" t="n"/>
    </row>
    <row r="648" ht="12.8" customHeight="1" s="26">
      <c r="A648" t="inlineStr">
        <is>
          <t>96049</t>
        </is>
      </c>
      <c r="B648" t="n">
        <v>0</v>
      </c>
      <c r="C648" t="inlineStr">
        <is>
          <t>Heřmánek lékařský květ 40g ks</t>
        </is>
      </c>
      <c r="F648" t="inlineStr">
        <is>
          <t>8594056690541</t>
        </is>
      </c>
      <c r="G648" t="n">
        <v>36.61</v>
      </c>
      <c r="H648">
        <f>G648 * B648</f>
        <v/>
      </c>
      <c r="I648" t="n">
        <v>12</v>
      </c>
      <c r="J648">
        <f>41 * B648</f>
        <v/>
      </c>
    </row>
    <row r="649" ht="12.8" customHeight="1" s="26">
      <c r="A649" t="inlineStr">
        <is>
          <t>96050</t>
        </is>
      </c>
      <c r="B649" t="n">
        <v>0</v>
      </c>
      <c r="C649" t="inlineStr">
        <is>
          <t>Heřmánek římský květ 30g ks</t>
        </is>
      </c>
      <c r="F649" t="inlineStr">
        <is>
          <t>8594056693405</t>
        </is>
      </c>
      <c r="G649" t="n">
        <v>65.18000000000001</v>
      </c>
      <c r="H649">
        <f>G649 * B649</f>
        <v/>
      </c>
      <c r="I649" t="n">
        <v>12</v>
      </c>
      <c r="J649">
        <f>73 * B649</f>
        <v/>
      </c>
    </row>
    <row r="650" ht="12.8" customHeight="1" s="26">
      <c r="A650" t="inlineStr">
        <is>
          <t>96051</t>
        </is>
      </c>
      <c r="B650" t="n">
        <v>0</v>
      </c>
      <c r="C650" t="inlineStr">
        <is>
          <t>Hloh obecný květ 40g ks</t>
        </is>
      </c>
      <c r="F650" t="inlineStr">
        <is>
          <t>8594056694969</t>
        </is>
      </c>
      <c r="G650" t="n">
        <v>57.14</v>
      </c>
      <c r="H650">
        <f>G650 * B650</f>
        <v/>
      </c>
      <c r="I650" t="n">
        <v>12</v>
      </c>
      <c r="J650">
        <f>64 * B650</f>
        <v/>
      </c>
    </row>
    <row r="651" ht="12.8" customHeight="1" s="26">
      <c r="A651" t="inlineStr">
        <is>
          <t>96052</t>
        </is>
      </c>
      <c r="B651" t="n">
        <v>0</v>
      </c>
      <c r="C651" t="inlineStr">
        <is>
          <t>Hloh obecný list s květem 40g ks</t>
        </is>
      </c>
      <c r="F651" t="inlineStr">
        <is>
          <t>8594056693030</t>
        </is>
      </c>
      <c r="G651" t="n">
        <v>26.79</v>
      </c>
      <c r="H651">
        <f>G651 * B651</f>
        <v/>
      </c>
      <c r="I651" t="n">
        <v>12</v>
      </c>
      <c r="J651">
        <f>30 * B651</f>
        <v/>
      </c>
    </row>
    <row r="652" ht="12.8" customHeight="1" s="26">
      <c r="A652" t="inlineStr">
        <is>
          <t>96053</t>
        </is>
      </c>
      <c r="B652" t="n">
        <v>0</v>
      </c>
      <c r="C652" t="inlineStr">
        <is>
          <t>Hloh obecný plod 100g ks</t>
        </is>
      </c>
      <c r="F652" t="inlineStr">
        <is>
          <t>8594056693818</t>
        </is>
      </c>
      <c r="G652" t="n">
        <v>40.18</v>
      </c>
      <c r="H652">
        <f>G652 * B652</f>
        <v/>
      </c>
      <c r="I652" t="n">
        <v>12</v>
      </c>
      <c r="J652">
        <f>45 * B652</f>
        <v/>
      </c>
    </row>
    <row r="653" ht="12.8" customHeight="1" s="26">
      <c r="A653" t="inlineStr">
        <is>
          <t>96054</t>
        </is>
      </c>
      <c r="B653" t="n">
        <v>0</v>
      </c>
      <c r="C653" t="inlineStr">
        <is>
          <t>Hluchavka bílá květ 10g ks</t>
        </is>
      </c>
      <c r="F653" t="inlineStr">
        <is>
          <t>8594056693832</t>
        </is>
      </c>
      <c r="G653" t="n">
        <v>78.56999999999999</v>
      </c>
      <c r="H653">
        <f>G653 * B653</f>
        <v/>
      </c>
      <c r="I653" t="n">
        <v>12</v>
      </c>
      <c r="J653">
        <f>88 * B653</f>
        <v/>
      </c>
    </row>
    <row r="654" ht="12.8" customHeight="1" s="26">
      <c r="A654" t="inlineStr">
        <is>
          <t>96055</t>
        </is>
      </c>
      <c r="B654" t="n">
        <v>0</v>
      </c>
      <c r="C654" t="inlineStr">
        <is>
          <t>Hluchavka bílá nať 40g ks</t>
        </is>
      </c>
      <c r="F654" t="inlineStr">
        <is>
          <t>8594056693689</t>
        </is>
      </c>
      <c r="G654" t="n">
        <v>29.46</v>
      </c>
      <c r="H654">
        <f>G654 * B654</f>
        <v/>
      </c>
      <c r="I654" t="n">
        <v>12</v>
      </c>
      <c r="J654">
        <f>33 * B654</f>
        <v/>
      </c>
    </row>
    <row r="655" ht="12.8" customHeight="1" s="26">
      <c r="A655" t="inlineStr">
        <is>
          <t>96056</t>
        </is>
      </c>
      <c r="B655" t="n">
        <v>0</v>
      </c>
      <c r="C655" t="inlineStr">
        <is>
          <t>Hořčice bílá semeno 100g ks</t>
        </is>
      </c>
      <c r="F655" t="inlineStr">
        <is>
          <t>8594056694976</t>
        </is>
      </c>
      <c r="G655" t="n">
        <v>24.11</v>
      </c>
      <c r="H655">
        <f>G655 * B655</f>
        <v/>
      </c>
      <c r="I655" t="n">
        <v>12</v>
      </c>
      <c r="J655">
        <f>27 * B655</f>
        <v/>
      </c>
    </row>
    <row r="656" ht="12.8" customHeight="1" s="26">
      <c r="A656" t="inlineStr">
        <is>
          <t>96057</t>
        </is>
      </c>
      <c r="B656" t="n">
        <v>0</v>
      </c>
      <c r="C656" t="inlineStr">
        <is>
          <t>Hořčice černá semeno 100g ks</t>
        </is>
      </c>
      <c r="F656" t="inlineStr">
        <is>
          <t>8594056696505</t>
        </is>
      </c>
      <c r="G656" t="n">
        <v>26.79</v>
      </c>
      <c r="H656">
        <f>G656 * B656</f>
        <v/>
      </c>
      <c r="I656" t="n">
        <v>12</v>
      </c>
      <c r="J656">
        <f>30 * B656</f>
        <v/>
      </c>
    </row>
    <row r="657" ht="12.8" customHeight="1" s="26">
      <c r="A657" t="inlineStr">
        <is>
          <t>96058</t>
        </is>
      </c>
      <c r="B657" t="n">
        <v>0</v>
      </c>
      <c r="C657" t="inlineStr">
        <is>
          <t>Hořec žlutý kořen 50g ks</t>
        </is>
      </c>
      <c r="F657" t="inlineStr">
        <is>
          <t>8594056693009</t>
        </is>
      </c>
      <c r="G657" t="n">
        <v>65.18000000000001</v>
      </c>
      <c r="H657">
        <f>G657 * B657</f>
        <v/>
      </c>
      <c r="I657" t="n">
        <v>12</v>
      </c>
      <c r="J657">
        <f>73 * B657</f>
        <v/>
      </c>
    </row>
    <row r="658" ht="12.8" customHeight="1" s="26">
      <c r="A658" s="49" t="inlineStr">
        <is>
          <t>96059</t>
        </is>
      </c>
      <c r="B658" s="49" t="inlineStr">
        <is>
          <t>-</t>
        </is>
      </c>
      <c r="C658" s="49" t="inlineStr">
        <is>
          <t>Hřebíček (Hřebíčkovec kořenný) květ celý 50g ks</t>
        </is>
      </c>
      <c r="D658" s="49" t="n"/>
      <c r="E658" s="49" t="n"/>
      <c r="F658" s="49" t="inlineStr">
        <is>
          <t>8594056694990</t>
        </is>
      </c>
      <c r="G658" s="49" t="n">
        <v>43.75</v>
      </c>
      <c r="H658" s="49" t="n"/>
      <c r="I658" s="49" t="n">
        <v>12</v>
      </c>
      <c r="J658" s="49" t="n"/>
      <c r="K658" s="49" t="n"/>
    </row>
    <row r="659" ht="12.8" customHeight="1" s="26">
      <c r="A659" s="49" t="inlineStr">
        <is>
          <t>960591</t>
        </is>
      </c>
      <c r="B659" s="49" t="inlineStr">
        <is>
          <t>-</t>
        </is>
      </c>
      <c r="C659" s="49" t="inlineStr">
        <is>
          <t>Hřebíček (Hřebíčkovec kořenný) květ mletý 100g ks</t>
        </is>
      </c>
      <c r="D659" s="49" t="n"/>
      <c r="E659" s="49" t="n"/>
      <c r="F659" s="49" t="inlineStr">
        <is>
          <t>8594056696819</t>
        </is>
      </c>
      <c r="G659" s="49" t="n">
        <v>42.86</v>
      </c>
      <c r="H659" s="49" t="n"/>
      <c r="I659" s="49" t="n">
        <v>12</v>
      </c>
      <c r="J659" s="49" t="n"/>
      <c r="K659" s="49" t="n"/>
    </row>
    <row r="660" ht="12.8" customHeight="1" s="26">
      <c r="A660" t="inlineStr">
        <is>
          <t>96060</t>
        </is>
      </c>
      <c r="B660" t="n">
        <v>0</v>
      </c>
      <c r="C660" t="inlineStr">
        <is>
          <t>Chaluha bublinatá 100g ks</t>
        </is>
      </c>
      <c r="F660" t="inlineStr">
        <is>
          <t>8594056693696</t>
        </is>
      </c>
      <c r="G660" t="n">
        <v>39.29</v>
      </c>
      <c r="H660">
        <f>G660 * B660</f>
        <v/>
      </c>
      <c r="I660" t="n">
        <v>12</v>
      </c>
      <c r="J660">
        <f>44 * B660</f>
        <v/>
      </c>
    </row>
    <row r="661" ht="12.8" customHeight="1" s="26">
      <c r="A661" t="inlineStr">
        <is>
          <t>96062</t>
        </is>
      </c>
      <c r="B661" t="n">
        <v>0</v>
      </c>
      <c r="C661" t="inlineStr">
        <is>
          <t>Chmel otáčivý šištice 20g ks</t>
        </is>
      </c>
      <c r="F661" t="inlineStr">
        <is>
          <t>8594056693146</t>
        </is>
      </c>
      <c r="G661" t="n">
        <v>22.32</v>
      </c>
      <c r="H661">
        <f>G661 * B661</f>
        <v/>
      </c>
      <c r="I661" t="n">
        <v>12</v>
      </c>
      <c r="J661">
        <f>25 * B661</f>
        <v/>
      </c>
    </row>
    <row r="662" ht="12.8" customHeight="1" s="26">
      <c r="A662" t="inlineStr">
        <is>
          <t>96063</t>
        </is>
      </c>
      <c r="B662" t="n">
        <v>0</v>
      </c>
      <c r="C662" t="inlineStr">
        <is>
          <t>Chrpa modrák květ se zákrovem 30g ks</t>
        </is>
      </c>
      <c r="F662" t="inlineStr">
        <is>
          <t>8594056696437</t>
        </is>
      </c>
      <c r="G662" t="n">
        <v>43.75</v>
      </c>
      <c r="H662">
        <f>G662 * B662</f>
        <v/>
      </c>
      <c r="I662" t="n">
        <v>12</v>
      </c>
      <c r="J662">
        <f>49 * B662</f>
        <v/>
      </c>
    </row>
    <row r="663" ht="12.8" customHeight="1" s="26">
      <c r="A663" t="inlineStr">
        <is>
          <t>96064</t>
        </is>
      </c>
      <c r="B663" t="n">
        <v>0</v>
      </c>
      <c r="C663" t="inlineStr">
        <is>
          <t>Ibišek sudánský květ (Karkade) 50g ks</t>
        </is>
      </c>
      <c r="F663" t="inlineStr">
        <is>
          <t>8594056690596</t>
        </is>
      </c>
      <c r="G663" t="n">
        <v>33.93</v>
      </c>
      <c r="H663">
        <f>G663 * B663</f>
        <v/>
      </c>
      <c r="I663" t="n">
        <v>12</v>
      </c>
      <c r="J663">
        <f>38 * B663</f>
        <v/>
      </c>
    </row>
    <row r="664" ht="12.8" customHeight="1" s="26">
      <c r="A664" t="inlineStr">
        <is>
          <t>96065</t>
        </is>
      </c>
      <c r="B664" t="n">
        <v>0</v>
      </c>
      <c r="C664" t="inlineStr">
        <is>
          <t>Jablečník obecný nať 40g ks</t>
        </is>
      </c>
      <c r="F664" t="inlineStr">
        <is>
          <t>8594056693665</t>
        </is>
      </c>
      <c r="G664" t="n">
        <v>26.79</v>
      </c>
      <c r="H664">
        <f>G664 * B664</f>
        <v/>
      </c>
      <c r="I664" t="n">
        <v>12</v>
      </c>
      <c r="J664">
        <f>30 * B664</f>
        <v/>
      </c>
    </row>
    <row r="665" ht="12.8" customHeight="1" s="26">
      <c r="A665" t="inlineStr">
        <is>
          <t>96066</t>
        </is>
      </c>
      <c r="B665" t="n">
        <v>0</v>
      </c>
      <c r="C665" t="inlineStr">
        <is>
          <t>Jablko plod kostky 50g ks</t>
        </is>
      </c>
      <c r="F665" t="inlineStr">
        <is>
          <t>8594056695010</t>
        </is>
      </c>
      <c r="G665" t="n">
        <v>25</v>
      </c>
      <c r="H665">
        <f>G665 * B665</f>
        <v/>
      </c>
      <c r="I665" t="n">
        <v>12</v>
      </c>
      <c r="J665">
        <f>28 * B665</f>
        <v/>
      </c>
    </row>
    <row r="666" ht="12.8" customHeight="1" s="26">
      <c r="A666" t="inlineStr">
        <is>
          <t>96067</t>
        </is>
      </c>
      <c r="B666" t="n">
        <v>0</v>
      </c>
      <c r="C666" t="inlineStr">
        <is>
          <t>Jahodník obecný list 40g ks</t>
        </is>
      </c>
      <c r="F666" t="inlineStr">
        <is>
          <t>8594056693658</t>
        </is>
      </c>
      <c r="G666" t="n">
        <v>30.36</v>
      </c>
      <c r="H666">
        <f>G666 * B666</f>
        <v/>
      </c>
      <c r="I666" t="n">
        <v>12</v>
      </c>
      <c r="J666">
        <f>34 * B666</f>
        <v/>
      </c>
    </row>
    <row r="667" ht="12.8" customHeight="1" s="26">
      <c r="A667" t="inlineStr">
        <is>
          <t>96068</t>
        </is>
      </c>
      <c r="B667" t="n">
        <v>0</v>
      </c>
      <c r="C667" t="inlineStr">
        <is>
          <t>Jalovec obecný plod 100g ks</t>
        </is>
      </c>
      <c r="F667" t="inlineStr">
        <is>
          <t>8594056693184</t>
        </is>
      </c>
      <c r="G667" t="n">
        <v>58.04</v>
      </c>
      <c r="H667">
        <f>G667 * B667</f>
        <v/>
      </c>
      <c r="I667" t="n">
        <v>12</v>
      </c>
      <c r="J667">
        <f>65 * B667</f>
        <v/>
      </c>
    </row>
    <row r="668" ht="12.8" customHeight="1" s="26">
      <c r="A668" s="49" t="inlineStr">
        <is>
          <t>96070</t>
        </is>
      </c>
      <c r="B668" s="49" t="inlineStr">
        <is>
          <t>-</t>
        </is>
      </c>
      <c r="C668" s="49" t="inlineStr">
        <is>
          <t>Jasan ztepilý list 50g ks</t>
        </is>
      </c>
      <c r="D668" s="49" t="n"/>
      <c r="E668" s="49" t="n"/>
      <c r="F668" s="49" t="inlineStr">
        <is>
          <t>8594056694556</t>
        </is>
      </c>
      <c r="G668" s="49" t="n">
        <v>36.61</v>
      </c>
      <c r="H668" s="49" t="n"/>
      <c r="I668" s="49" t="n">
        <v>12</v>
      </c>
      <c r="J668" s="49" t="n"/>
      <c r="K668" s="49" t="n"/>
    </row>
    <row r="669" ht="12.8" customHeight="1" s="26">
      <c r="A669" t="inlineStr">
        <is>
          <t>96071</t>
        </is>
      </c>
      <c r="B669" t="n">
        <v>0</v>
      </c>
      <c r="C669" t="inlineStr">
        <is>
          <t>Jasmín křovitý květ 20g ks</t>
        </is>
      </c>
      <c r="F669" t="inlineStr">
        <is>
          <t>8594056696536</t>
        </is>
      </c>
      <c r="G669" t="n">
        <v>27.68</v>
      </c>
      <c r="H669">
        <f>G669 * B669</f>
        <v/>
      </c>
      <c r="I669" t="n">
        <v>12</v>
      </c>
      <c r="J669">
        <f>31 * B669</f>
        <v/>
      </c>
    </row>
    <row r="670" ht="12.8" customHeight="1" s="26">
      <c r="A670" t="inlineStr">
        <is>
          <t>96072</t>
        </is>
      </c>
      <c r="B670" t="n">
        <v>0</v>
      </c>
      <c r="C670" t="inlineStr">
        <is>
          <t>Jehlice trnitá kořen 100g ks</t>
        </is>
      </c>
      <c r="F670" t="inlineStr">
        <is>
          <t>8594056693221</t>
        </is>
      </c>
      <c r="G670" t="n">
        <v>56.25</v>
      </c>
      <c r="H670">
        <f>G670 * B670</f>
        <v/>
      </c>
      <c r="I670" t="n">
        <v>12</v>
      </c>
      <c r="J670">
        <f>63 * B670</f>
        <v/>
      </c>
    </row>
    <row r="671" ht="12.8" customHeight="1" s="26">
      <c r="A671" t="inlineStr">
        <is>
          <t>96073</t>
        </is>
      </c>
      <c r="B671" t="n">
        <v>0</v>
      </c>
      <c r="C671" t="inlineStr">
        <is>
          <t>Jeřabina černá plod (aronie) 100g ks</t>
        </is>
      </c>
      <c r="F671" t="inlineStr">
        <is>
          <t>8594056693436</t>
        </is>
      </c>
      <c r="G671" t="n">
        <v>61.61</v>
      </c>
      <c r="H671">
        <f>G671 * B671</f>
        <v/>
      </c>
      <c r="I671" t="n">
        <v>12</v>
      </c>
      <c r="J671">
        <f>69 * B671</f>
        <v/>
      </c>
    </row>
    <row r="672" ht="12.8" customHeight="1" s="26">
      <c r="A672" t="inlineStr">
        <is>
          <t>96074</t>
        </is>
      </c>
      <c r="B672" t="n">
        <v>0</v>
      </c>
      <c r="C672" t="inlineStr">
        <is>
          <t>Jeřabina červená plod 100g ks</t>
        </is>
      </c>
      <c r="F672" t="inlineStr">
        <is>
          <t>8594056693429</t>
        </is>
      </c>
      <c r="G672" t="n">
        <v>60.71</v>
      </c>
      <c r="H672">
        <f>G672 * B672</f>
        <v/>
      </c>
      <c r="I672" t="n">
        <v>12</v>
      </c>
      <c r="J672">
        <f>68 * B672</f>
        <v/>
      </c>
    </row>
    <row r="673" ht="12.8" customHeight="1" s="26">
      <c r="A673" t="inlineStr">
        <is>
          <t>96075</t>
        </is>
      </c>
      <c r="B673" t="n">
        <v>0</v>
      </c>
      <c r="C673" t="inlineStr">
        <is>
          <t>Jestřabina lékařská nať 40g ks</t>
        </is>
      </c>
      <c r="F673" t="inlineStr">
        <is>
          <t>8594056693641</t>
        </is>
      </c>
      <c r="G673" t="n">
        <v>30.36</v>
      </c>
      <c r="H673">
        <f>G673 * B673</f>
        <v/>
      </c>
      <c r="I673" t="n">
        <v>12</v>
      </c>
      <c r="J673">
        <f>34 * B673</f>
        <v/>
      </c>
    </row>
    <row r="674" ht="12.8" customHeight="1" s="26">
      <c r="A674" t="inlineStr">
        <is>
          <t>96077</t>
        </is>
      </c>
      <c r="B674" t="n">
        <v>0</v>
      </c>
      <c r="C674" t="inlineStr">
        <is>
          <t>Jetel červený květ 20g ks</t>
        </is>
      </c>
      <c r="F674" t="inlineStr">
        <is>
          <t>8594056693351</t>
        </is>
      </c>
      <c r="G674" t="n">
        <v>30.36</v>
      </c>
      <c r="H674">
        <f>G674 * B674</f>
        <v/>
      </c>
      <c r="I674" t="n">
        <v>12</v>
      </c>
      <c r="J674">
        <f>34 * B674</f>
        <v/>
      </c>
    </row>
    <row r="675" ht="12.8" customHeight="1" s="26">
      <c r="A675" t="inlineStr">
        <is>
          <t>96078</t>
        </is>
      </c>
      <c r="B675" t="n">
        <v>0</v>
      </c>
      <c r="C675" t="inlineStr">
        <is>
          <t>Jinan dvoulaločný list 40g ks</t>
        </is>
      </c>
      <c r="F675" t="inlineStr">
        <is>
          <t>8594056693283</t>
        </is>
      </c>
      <c r="G675" t="n">
        <v>30.36</v>
      </c>
      <c r="H675">
        <f>G675 * B675</f>
        <v/>
      </c>
      <c r="I675" t="n">
        <v>12</v>
      </c>
      <c r="J675">
        <f>34 * B675</f>
        <v/>
      </c>
    </row>
    <row r="676" ht="12.8" customHeight="1" s="26">
      <c r="A676" t="inlineStr">
        <is>
          <t>96079</t>
        </is>
      </c>
      <c r="B676" t="n">
        <v>0</v>
      </c>
      <c r="C676" t="inlineStr">
        <is>
          <t>Jitrocel kopinatý list 40g ks</t>
        </is>
      </c>
      <c r="F676" t="inlineStr">
        <is>
          <t>8594056693160</t>
        </is>
      </c>
      <c r="G676" t="n">
        <v>26.79</v>
      </c>
      <c r="H676">
        <f>G676 * B676</f>
        <v/>
      </c>
      <c r="I676" t="n">
        <v>12</v>
      </c>
      <c r="J676">
        <f>30 * B676</f>
        <v/>
      </c>
    </row>
    <row r="677" ht="12.8" customHeight="1" s="26">
      <c r="A677" t="inlineStr">
        <is>
          <t>96080</t>
        </is>
      </c>
      <c r="B677" t="n">
        <v>0</v>
      </c>
      <c r="C677" t="inlineStr">
        <is>
          <t>Jmelí bílé nať 100g ks</t>
        </is>
      </c>
      <c r="F677" t="inlineStr">
        <is>
          <t>8594056693115</t>
        </is>
      </c>
      <c r="G677" t="n">
        <v>55.36</v>
      </c>
      <c r="H677">
        <f>G677 * B677</f>
        <v/>
      </c>
      <c r="I677" t="n">
        <v>12</v>
      </c>
      <c r="J677">
        <f>62 * B677</f>
        <v/>
      </c>
    </row>
    <row r="678" ht="12.8" customHeight="1" s="26">
      <c r="A678" t="inlineStr">
        <is>
          <t>96081</t>
        </is>
      </c>
      <c r="B678" t="n">
        <v>0</v>
      </c>
      <c r="C678" t="inlineStr">
        <is>
          <t>Kakost smrdutý nať 40g ks</t>
        </is>
      </c>
      <c r="F678" t="inlineStr">
        <is>
          <t>8594056693733</t>
        </is>
      </c>
      <c r="G678" t="n">
        <v>33.04</v>
      </c>
      <c r="H678">
        <f>G678 * B678</f>
        <v/>
      </c>
      <c r="I678" t="n">
        <v>12</v>
      </c>
      <c r="J678">
        <f>37 * B678</f>
        <v/>
      </c>
    </row>
    <row r="679" ht="12.8" customHeight="1" s="26">
      <c r="A679" s="49" t="inlineStr">
        <is>
          <t>96083</t>
        </is>
      </c>
      <c r="B679" s="49" t="inlineStr">
        <is>
          <t>-</t>
        </is>
      </c>
      <c r="C679" s="49" t="inlineStr">
        <is>
          <t>Kardamom obecný plod celý 50g ks</t>
        </is>
      </c>
      <c r="D679" s="49" t="n"/>
      <c r="E679" s="49" t="n"/>
      <c r="F679" s="49" t="inlineStr">
        <is>
          <t>8594056695058</t>
        </is>
      </c>
      <c r="G679" s="49" t="n">
        <v>61.61</v>
      </c>
      <c r="H679" s="49" t="n"/>
      <c r="I679" s="49" t="n">
        <v>12</v>
      </c>
      <c r="J679" s="49" t="n"/>
      <c r="K679" s="49" t="n"/>
    </row>
    <row r="680" ht="12.8" customHeight="1" s="26">
      <c r="A680" t="inlineStr">
        <is>
          <t>960831</t>
        </is>
      </c>
      <c r="B680" t="n">
        <v>0</v>
      </c>
      <c r="C680" t="inlineStr">
        <is>
          <t>Kardamom obecný plod mletý 100g ks</t>
        </is>
      </c>
      <c r="F680" t="inlineStr">
        <is>
          <t>8594056694983</t>
        </is>
      </c>
      <c r="G680" t="n">
        <v>137.5</v>
      </c>
      <c r="H680">
        <f>G680 * B680</f>
        <v/>
      </c>
      <c r="I680" t="n">
        <v>12</v>
      </c>
      <c r="J680">
        <f>154 * B680</f>
        <v/>
      </c>
    </row>
    <row r="681" ht="12.8" customHeight="1" s="26">
      <c r="A681" t="inlineStr">
        <is>
          <t>96084</t>
        </is>
      </c>
      <c r="B681" t="n">
        <v>0</v>
      </c>
      <c r="C681" t="inlineStr">
        <is>
          <t>Kaštan koňský květ 40g ks</t>
        </is>
      </c>
      <c r="F681" t="inlineStr">
        <is>
          <t>8594056693986</t>
        </is>
      </c>
      <c r="G681" t="n">
        <v>34.82</v>
      </c>
      <c r="H681">
        <f>G681 * B681</f>
        <v/>
      </c>
      <c r="I681" t="n">
        <v>12</v>
      </c>
      <c r="J681">
        <f>39 * B681</f>
        <v/>
      </c>
    </row>
    <row r="682" ht="12.8" customHeight="1" s="26">
      <c r="A682" s="49" t="inlineStr">
        <is>
          <t>96085</t>
        </is>
      </c>
      <c r="B682" s="49" t="inlineStr">
        <is>
          <t>-</t>
        </is>
      </c>
      <c r="C682" s="49" t="inlineStr">
        <is>
          <t>Kmín kořenný plod celý 100g ks</t>
        </is>
      </c>
      <c r="D682" s="49" t="n"/>
      <c r="E682" s="49" t="n"/>
      <c r="F682" s="49" t="inlineStr">
        <is>
          <t>8594056696499</t>
        </is>
      </c>
      <c r="G682" s="49" t="n">
        <v>25</v>
      </c>
      <c r="H682" s="49" t="n"/>
      <c r="I682" s="49" t="n">
        <v>12</v>
      </c>
      <c r="J682" s="49" t="n"/>
      <c r="K682" s="49" t="n"/>
    </row>
    <row r="683" ht="12.8" customHeight="1" s="26">
      <c r="A683" s="49" t="inlineStr">
        <is>
          <t>960851</t>
        </is>
      </c>
      <c r="B683" s="49" t="inlineStr">
        <is>
          <t>-</t>
        </is>
      </c>
      <c r="C683" s="49" t="inlineStr">
        <is>
          <t>Kmín kořenný plod mletý 100g ks</t>
        </is>
      </c>
      <c r="D683" s="49" t="n"/>
      <c r="E683" s="49" t="n"/>
      <c r="F683" s="49" t="inlineStr">
        <is>
          <t>8594056696826</t>
        </is>
      </c>
      <c r="G683" s="49" t="n">
        <v>25</v>
      </c>
      <c r="H683" s="49" t="n"/>
      <c r="I683" s="49" t="n">
        <v>12</v>
      </c>
      <c r="J683" s="49" t="n"/>
      <c r="K683" s="49" t="n"/>
    </row>
    <row r="684" ht="12.8" customHeight="1" s="26">
      <c r="A684" s="49" t="inlineStr">
        <is>
          <t>960852</t>
        </is>
      </c>
      <c r="B684" s="49" t="inlineStr">
        <is>
          <t>-</t>
        </is>
      </c>
      <c r="C684" s="49" t="inlineStr">
        <is>
          <t>Kmín římský plod (Šabrej kmínovitý) celý 100g ks</t>
        </is>
      </c>
      <c r="D684" s="49" t="n"/>
      <c r="E684" s="49" t="n"/>
      <c r="F684" s="49" t="inlineStr">
        <is>
          <t>8594056696925</t>
        </is>
      </c>
      <c r="G684" s="49" t="n">
        <v>37.5</v>
      </c>
      <c r="H684" s="49" t="n"/>
      <c r="I684" s="49" t="n">
        <v>12</v>
      </c>
      <c r="J684" s="49" t="n"/>
      <c r="K684" s="49" t="n"/>
    </row>
    <row r="685" ht="12.8" customHeight="1" s="26">
      <c r="A685" s="49" t="inlineStr">
        <is>
          <t>960853</t>
        </is>
      </c>
      <c r="B685" s="49" t="inlineStr">
        <is>
          <t>-</t>
        </is>
      </c>
      <c r="C685" s="49" t="inlineStr">
        <is>
          <t>Kmín římský plod (Šabrej kmínovitý) mletý 100g ks</t>
        </is>
      </c>
      <c r="D685" s="49" t="n"/>
      <c r="E685" s="49" t="n"/>
      <c r="F685" s="49" t="inlineStr">
        <is>
          <t>8594056696932</t>
        </is>
      </c>
      <c r="G685" s="49" t="n">
        <v>40.18</v>
      </c>
      <c r="H685" s="49" t="n"/>
      <c r="I685" s="49" t="n">
        <v>12</v>
      </c>
      <c r="J685" s="49" t="n"/>
      <c r="K685" s="49" t="n"/>
    </row>
    <row r="686" ht="12.8" customHeight="1" s="26">
      <c r="A686" t="inlineStr">
        <is>
          <t>96086</t>
        </is>
      </c>
      <c r="B686" t="n">
        <v>0</v>
      </c>
      <c r="C686" t="inlineStr">
        <is>
          <t>Kokoška pastuší tobolka nať 40g ks</t>
        </is>
      </c>
      <c r="F686" t="inlineStr">
        <is>
          <t>8594056693740</t>
        </is>
      </c>
      <c r="G686" t="n">
        <v>25.89</v>
      </c>
      <c r="H686">
        <f>G686 * B686</f>
        <v/>
      </c>
      <c r="I686" t="n">
        <v>12</v>
      </c>
      <c r="J686">
        <f>29 * B686</f>
        <v/>
      </c>
    </row>
    <row r="687" ht="12.8" customHeight="1" s="26">
      <c r="A687" t="inlineStr">
        <is>
          <t>96087</t>
        </is>
      </c>
      <c r="B687" t="n">
        <v>0</v>
      </c>
      <c r="C687" t="inlineStr">
        <is>
          <t>Komonice lékařská nať 40g ks</t>
        </is>
      </c>
      <c r="F687" t="inlineStr">
        <is>
          <t>8594056694044</t>
        </is>
      </c>
      <c r="G687" t="n">
        <v>25.89</v>
      </c>
      <c r="H687">
        <f>G687 * B687</f>
        <v/>
      </c>
      <c r="I687" t="n">
        <v>12</v>
      </c>
      <c r="J687">
        <f>29 * B687</f>
        <v/>
      </c>
    </row>
    <row r="688" ht="12.8" customHeight="1" s="26">
      <c r="A688" t="inlineStr">
        <is>
          <t>96088</t>
        </is>
      </c>
      <c r="B688" t="n">
        <v>0</v>
      </c>
      <c r="C688" t="inlineStr">
        <is>
          <t>Kondurango (Marsdenie kondurangová) kůra 50g ks</t>
        </is>
      </c>
      <c r="F688" t="inlineStr">
        <is>
          <t>8594056693702</t>
        </is>
      </c>
      <c r="G688" t="n">
        <v>53.57</v>
      </c>
      <c r="H688">
        <f>G688 * B688</f>
        <v/>
      </c>
      <c r="I688" t="n">
        <v>12</v>
      </c>
      <c r="J688">
        <f>60 * B688</f>
        <v/>
      </c>
    </row>
    <row r="689" ht="12.8" customHeight="1" s="26">
      <c r="A689" s="49" t="inlineStr">
        <is>
          <t>96089</t>
        </is>
      </c>
      <c r="B689" s="49" t="inlineStr">
        <is>
          <t>-</t>
        </is>
      </c>
      <c r="C689" s="49" t="inlineStr">
        <is>
          <t>Konopáč sadec nať 40g ks</t>
        </is>
      </c>
      <c r="D689" s="49" t="n"/>
      <c r="E689" s="49" t="n"/>
      <c r="F689" s="49" t="inlineStr">
        <is>
          <t>8594056693313</t>
        </is>
      </c>
      <c r="G689" s="49" t="n">
        <v>33.04</v>
      </c>
      <c r="H689" s="49" t="n"/>
      <c r="I689" s="49" t="n">
        <v>12</v>
      </c>
      <c r="J689" s="49" t="n"/>
      <c r="K689" s="49" t="n"/>
    </row>
    <row r="690" ht="12.8" customHeight="1" s="26">
      <c r="A690" t="inlineStr">
        <is>
          <t>96090</t>
        </is>
      </c>
      <c r="B690" t="n">
        <v>0</v>
      </c>
      <c r="C690" t="inlineStr">
        <is>
          <t>Konopice bledožlutá nať 40g ks</t>
        </is>
      </c>
      <c r="F690" t="inlineStr">
        <is>
          <t>8594056693719</t>
        </is>
      </c>
      <c r="G690" t="n">
        <v>29.46</v>
      </c>
      <c r="H690">
        <f>G690 * B690</f>
        <v/>
      </c>
      <c r="I690" t="n">
        <v>12</v>
      </c>
      <c r="J690">
        <f>33 * B690</f>
        <v/>
      </c>
    </row>
    <row r="691" ht="12.8" customHeight="1" s="26">
      <c r="A691" t="inlineStr">
        <is>
          <t>96091</t>
        </is>
      </c>
      <c r="B691" t="n">
        <v>0</v>
      </c>
      <c r="C691" t="inlineStr">
        <is>
          <t>Kontryhel žlutozelený nať 40g ks</t>
        </is>
      </c>
      <c r="F691" t="inlineStr">
        <is>
          <t>8594056693580</t>
        </is>
      </c>
      <c r="G691" t="n">
        <v>29.46</v>
      </c>
      <c r="H691">
        <f>G691 * B691</f>
        <v/>
      </c>
      <c r="I691" t="n">
        <v>12</v>
      </c>
      <c r="J691">
        <f>33 * B691</f>
        <v/>
      </c>
    </row>
    <row r="692" ht="12.8" customHeight="1" s="26">
      <c r="A692" t="inlineStr">
        <is>
          <t>96092</t>
        </is>
      </c>
      <c r="B692" t="n">
        <v>0</v>
      </c>
      <c r="C692" t="inlineStr">
        <is>
          <t>Kopr vonný list (špičky) 30g ks</t>
        </is>
      </c>
      <c r="F692" t="inlineStr">
        <is>
          <t>8594056696482</t>
        </is>
      </c>
      <c r="G692" t="n">
        <v>21.43</v>
      </c>
      <c r="H692">
        <f>G692 * B692</f>
        <v/>
      </c>
      <c r="I692" t="n">
        <v>12</v>
      </c>
      <c r="J692">
        <f>24 * B692</f>
        <v/>
      </c>
    </row>
    <row r="693" ht="12.8" customHeight="1" s="26">
      <c r="A693" t="inlineStr">
        <is>
          <t>96093</t>
        </is>
      </c>
      <c r="B693" t="n">
        <v>0</v>
      </c>
      <c r="C693" t="inlineStr">
        <is>
          <t>Kopretina řimbaba nať 50g ks</t>
        </is>
      </c>
      <c r="F693" t="inlineStr">
        <is>
          <t>8594056696642</t>
        </is>
      </c>
      <c r="G693" t="n">
        <v>51.79</v>
      </c>
      <c r="H693">
        <f>G693 * B693</f>
        <v/>
      </c>
      <c r="I693" t="n">
        <v>12</v>
      </c>
      <c r="J693">
        <f>58 * B693</f>
        <v/>
      </c>
    </row>
    <row r="694" ht="12.8" customHeight="1" s="26">
      <c r="A694" t="inlineStr">
        <is>
          <t>96094</t>
        </is>
      </c>
      <c r="B694" t="n">
        <v>0</v>
      </c>
      <c r="C694" t="inlineStr">
        <is>
          <t>Koprník štětinolistý kořen 50g ks</t>
        </is>
      </c>
      <c r="F694" t="inlineStr">
        <is>
          <t>8594056696451</t>
        </is>
      </c>
      <c r="G694" t="n">
        <v>105.36</v>
      </c>
      <c r="H694">
        <f>G694 * B694</f>
        <v/>
      </c>
      <c r="I694" t="n">
        <v>12</v>
      </c>
      <c r="J694">
        <f>118 * B694</f>
        <v/>
      </c>
    </row>
    <row r="695" ht="12.8" customHeight="1" s="26">
      <c r="A695" t="inlineStr">
        <is>
          <t>96095</t>
        </is>
      </c>
      <c r="B695" t="n">
        <v>0</v>
      </c>
      <c r="C695" t="inlineStr">
        <is>
          <t>Kopřiva dvoudomá kořen 50g ks</t>
        </is>
      </c>
      <c r="F695" t="inlineStr">
        <is>
          <t>8594056695096</t>
        </is>
      </c>
      <c r="G695" t="n">
        <v>32.14</v>
      </c>
      <c r="H695">
        <f>G695 * B695</f>
        <v/>
      </c>
      <c r="I695" t="n">
        <v>12</v>
      </c>
      <c r="J695">
        <f>36 * B695</f>
        <v/>
      </c>
    </row>
    <row r="696" ht="12.8" customHeight="1" s="26">
      <c r="A696" t="inlineStr">
        <is>
          <t>96096</t>
        </is>
      </c>
      <c r="B696" t="n">
        <v>0</v>
      </c>
      <c r="C696" t="inlineStr">
        <is>
          <t>Kopřiva dvoudomá nať 40g ks</t>
        </is>
      </c>
      <c r="F696" t="inlineStr">
        <is>
          <t>8594056693801</t>
        </is>
      </c>
      <c r="G696" t="n">
        <v>26.79</v>
      </c>
      <c r="H696">
        <f>G696 * B696</f>
        <v/>
      </c>
      <c r="I696" t="n">
        <v>12</v>
      </c>
      <c r="J696">
        <f>30 * B696</f>
        <v/>
      </c>
    </row>
    <row r="697" ht="12.8" customHeight="1" s="26">
      <c r="A697" t="inlineStr">
        <is>
          <t>96097</t>
        </is>
      </c>
      <c r="B697" t="n">
        <v>0</v>
      </c>
      <c r="C697" t="inlineStr">
        <is>
          <t>Koriandr setý plod 100g ks</t>
        </is>
      </c>
      <c r="F697" t="inlineStr">
        <is>
          <t>8594056693726</t>
        </is>
      </c>
      <c r="G697" t="n">
        <v>60.71</v>
      </c>
      <c r="H697">
        <f>G697 * B697</f>
        <v/>
      </c>
      <c r="I697" t="n">
        <v>12</v>
      </c>
      <c r="J697">
        <f>68 * B697</f>
        <v/>
      </c>
    </row>
    <row r="698" ht="12.8" customHeight="1" s="26">
      <c r="A698" t="inlineStr">
        <is>
          <t>96098</t>
        </is>
      </c>
      <c r="B698" t="n">
        <v>0</v>
      </c>
      <c r="C698" t="inlineStr">
        <is>
          <t>Kosatec německý oddenek 50g ks</t>
        </is>
      </c>
      <c r="F698" t="inlineStr">
        <is>
          <t>8594056693825</t>
        </is>
      </c>
      <c r="G698" t="n">
        <v>46.43</v>
      </c>
      <c r="H698">
        <f>G698 * B698</f>
        <v/>
      </c>
      <c r="I698" t="n">
        <v>12</v>
      </c>
      <c r="J698">
        <f>52 * B698</f>
        <v/>
      </c>
    </row>
    <row r="699" ht="12.8" customHeight="1" s="26">
      <c r="A699" t="inlineStr">
        <is>
          <t>96099</t>
        </is>
      </c>
      <c r="B699" t="n">
        <v>0</v>
      </c>
      <c r="C699" t="inlineStr">
        <is>
          <t>Kostival lékařský kořen 100g ks</t>
        </is>
      </c>
      <c r="F699" t="inlineStr">
        <is>
          <t>8594056693795</t>
        </is>
      </c>
      <c r="G699" t="n">
        <v>50.89</v>
      </c>
      <c r="H699">
        <f>G699 * B699</f>
        <v/>
      </c>
      <c r="I699" t="n">
        <v>12</v>
      </c>
      <c r="J699">
        <f>57 * B699</f>
        <v/>
      </c>
    </row>
    <row r="700" ht="12.8" customHeight="1" s="26">
      <c r="A700" t="inlineStr">
        <is>
          <t>96100</t>
        </is>
      </c>
      <c r="B700" t="n">
        <v>0</v>
      </c>
      <c r="C700" t="inlineStr">
        <is>
          <t>Kozinec sladkolistý kořen (astragalus) 50g ks</t>
        </is>
      </c>
      <c r="F700" t="inlineStr">
        <is>
          <t>8594056695102</t>
        </is>
      </c>
      <c r="G700" t="n">
        <v>48.21</v>
      </c>
      <c r="H700">
        <f>G700 * B700</f>
        <v/>
      </c>
      <c r="I700" t="n">
        <v>12</v>
      </c>
      <c r="J700">
        <f>54 * B700</f>
        <v/>
      </c>
    </row>
    <row r="701" ht="12.8" customHeight="1" s="26">
      <c r="A701" t="inlineStr">
        <is>
          <t>96101</t>
        </is>
      </c>
      <c r="B701" t="n">
        <v>0</v>
      </c>
      <c r="C701" t="inlineStr">
        <is>
          <t>Kozlík lékařský kořen 100g ks</t>
        </is>
      </c>
      <c r="F701" t="inlineStr">
        <is>
          <t>8594056693153</t>
        </is>
      </c>
      <c r="G701" t="n">
        <v>83.04000000000001</v>
      </c>
      <c r="H701">
        <f>G701 * B701</f>
        <v/>
      </c>
      <c r="I701" t="n">
        <v>12</v>
      </c>
      <c r="J701">
        <f>93 * B701</f>
        <v/>
      </c>
    </row>
    <row r="702" ht="12.8" customHeight="1" s="26">
      <c r="A702" t="inlineStr">
        <is>
          <t>96103</t>
        </is>
      </c>
      <c r="B702" t="n">
        <v>0</v>
      </c>
      <c r="C702" t="inlineStr">
        <is>
          <t>Krušina olšová kůra 50g ks</t>
        </is>
      </c>
      <c r="F702" t="inlineStr">
        <is>
          <t>8594056693481</t>
        </is>
      </c>
      <c r="G702" t="n">
        <v>33.93</v>
      </c>
      <c r="H702">
        <f>G702 * B702</f>
        <v/>
      </c>
      <c r="I702" t="n">
        <v>12</v>
      </c>
      <c r="J702">
        <f>38 * B702</f>
        <v/>
      </c>
    </row>
    <row r="703" ht="12.8" customHeight="1" s="26">
      <c r="A703" t="inlineStr">
        <is>
          <t>96104</t>
        </is>
      </c>
      <c r="B703" t="n">
        <v>0</v>
      </c>
      <c r="C703" t="inlineStr">
        <is>
          <t>Krvavec toten kořen 50g ks</t>
        </is>
      </c>
      <c r="F703" t="inlineStr">
        <is>
          <t>8594056695126</t>
        </is>
      </c>
      <c r="G703" t="n">
        <v>45.54</v>
      </c>
      <c r="H703">
        <f>G703 * B703</f>
        <v/>
      </c>
      <c r="I703" t="n">
        <v>12</v>
      </c>
      <c r="J703">
        <f>51 * B703</f>
        <v/>
      </c>
    </row>
    <row r="704" ht="12.8" customHeight="1" s="26">
      <c r="A704" t="inlineStr">
        <is>
          <t>96107</t>
        </is>
      </c>
      <c r="B704" t="n">
        <v>0</v>
      </c>
      <c r="C704" t="inlineStr">
        <is>
          <t>Kukuřice setá čnělky 30g ks</t>
        </is>
      </c>
      <c r="F704" t="inlineStr">
        <is>
          <t>8594056694532</t>
        </is>
      </c>
      <c r="G704" t="n">
        <v>30.36</v>
      </c>
      <c r="H704">
        <f>G704 * B704</f>
        <v/>
      </c>
      <c r="I704" t="n">
        <v>12</v>
      </c>
      <c r="J704">
        <f>34 * B704</f>
        <v/>
      </c>
    </row>
    <row r="705" ht="12.8" customHeight="1" s="26">
      <c r="A705" t="inlineStr">
        <is>
          <t>96108</t>
        </is>
      </c>
      <c r="B705" t="n">
        <v>0</v>
      </c>
      <c r="C705" t="inlineStr">
        <is>
          <t>Kurkuma dlouhá oddenek mletá 100g ks</t>
        </is>
      </c>
      <c r="F705" t="inlineStr">
        <is>
          <t>8594056693535</t>
        </is>
      </c>
      <c r="G705" t="n">
        <v>44.64</v>
      </c>
      <c r="H705">
        <f>G705 * B705</f>
        <v/>
      </c>
      <c r="I705" t="n">
        <v>12</v>
      </c>
      <c r="J705">
        <f>50 * B705</f>
        <v/>
      </c>
    </row>
    <row r="706" ht="12.8" customHeight="1" s="26">
      <c r="A706" t="inlineStr">
        <is>
          <t>961081</t>
        </is>
      </c>
      <c r="B706" t="n">
        <v>0</v>
      </c>
      <c r="C706" t="inlineStr">
        <is>
          <t>Kurkuma dlouhá oddenek řezaná 50g ks</t>
        </is>
      </c>
      <c r="F706" t="inlineStr">
        <is>
          <t>8594056696802</t>
        </is>
      </c>
      <c r="G706" t="n">
        <v>40.18</v>
      </c>
      <c r="H706">
        <f>G706 * B706</f>
        <v/>
      </c>
      <c r="I706" t="n">
        <v>12</v>
      </c>
      <c r="J706">
        <f>45 * B706</f>
        <v/>
      </c>
    </row>
    <row r="707" ht="12.8" customHeight="1" s="26">
      <c r="A707" t="inlineStr">
        <is>
          <t>96109</t>
        </is>
      </c>
      <c r="B707" t="n">
        <v>0</v>
      </c>
      <c r="C707" t="inlineStr">
        <is>
          <t>Lékořice lysá kořen 50g ks</t>
        </is>
      </c>
      <c r="F707" t="inlineStr">
        <is>
          <t>8594056693078</t>
        </is>
      </c>
      <c r="G707" t="n">
        <v>32.14</v>
      </c>
      <c r="H707">
        <f>G707 * B707</f>
        <v/>
      </c>
      <c r="I707" t="n">
        <v>12</v>
      </c>
      <c r="J707">
        <f>36 * B707</f>
        <v/>
      </c>
    </row>
    <row r="708" ht="12.8" customHeight="1" s="26">
      <c r="A708" t="inlineStr">
        <is>
          <t>96110</t>
        </is>
      </c>
      <c r="B708" t="n">
        <v>0</v>
      </c>
      <c r="C708" t="inlineStr">
        <is>
          <t>Levandule pravá květ 40g ks</t>
        </is>
      </c>
      <c r="F708" t="inlineStr">
        <is>
          <t>8594056693238</t>
        </is>
      </c>
      <c r="G708" t="n">
        <v>27.68</v>
      </c>
      <c r="H708">
        <f>G708 * B708</f>
        <v/>
      </c>
      <c r="I708" t="n">
        <v>12</v>
      </c>
      <c r="J708">
        <f>31 * B708</f>
        <v/>
      </c>
    </row>
    <row r="709" ht="12.8" customHeight="1" s="26">
      <c r="A709" t="inlineStr">
        <is>
          <t>96111</t>
        </is>
      </c>
      <c r="B709" t="n">
        <v>0</v>
      </c>
      <c r="C709" t="inlineStr">
        <is>
          <t>Libeček lékařský kořen 50g ks</t>
        </is>
      </c>
      <c r="F709" t="inlineStr">
        <is>
          <t>8594056694433</t>
        </is>
      </c>
      <c r="G709" t="n">
        <v>38.39</v>
      </c>
      <c r="H709">
        <f>G709 * B709</f>
        <v/>
      </c>
      <c r="I709" t="n">
        <v>12</v>
      </c>
      <c r="J709">
        <f>43 * B709</f>
        <v/>
      </c>
    </row>
    <row r="710" ht="12.8" customHeight="1" s="26">
      <c r="A710" t="inlineStr">
        <is>
          <t>96112</t>
        </is>
      </c>
      <c r="B710" t="n">
        <v>0</v>
      </c>
      <c r="C710" t="inlineStr">
        <is>
          <t>Libeček lékařský list 40g ks</t>
        </is>
      </c>
      <c r="F710" t="inlineStr">
        <is>
          <t>8594056694075</t>
        </is>
      </c>
      <c r="G710" t="n">
        <v>35.71</v>
      </c>
      <c r="H710">
        <f>G710 * B710</f>
        <v/>
      </c>
      <c r="I710" t="n">
        <v>12</v>
      </c>
      <c r="J710">
        <f>40 * B710</f>
        <v/>
      </c>
    </row>
    <row r="711" ht="12.8" customHeight="1" s="26">
      <c r="A711" t="inlineStr">
        <is>
          <t>96113</t>
        </is>
      </c>
      <c r="B711" t="n">
        <v>0</v>
      </c>
      <c r="C711" t="inlineStr">
        <is>
          <t>Lichořeřišnice větší semeno 50g ks</t>
        </is>
      </c>
      <c r="F711" t="inlineStr">
        <is>
          <t>8594056695140</t>
        </is>
      </c>
      <c r="G711" t="n">
        <v>51.79</v>
      </c>
      <c r="H711">
        <f>G711 * B711</f>
        <v/>
      </c>
      <c r="I711" t="n">
        <v>12</v>
      </c>
      <c r="J711">
        <f>58 * B711</f>
        <v/>
      </c>
    </row>
    <row r="712" ht="12.8" customHeight="1" s="26">
      <c r="A712" s="49" t="inlineStr">
        <is>
          <t>96114</t>
        </is>
      </c>
      <c r="B712" s="49" t="inlineStr">
        <is>
          <t>-</t>
        </is>
      </c>
      <c r="C712" s="49" t="inlineStr">
        <is>
          <t>Lipový (Lípa srdčitá) květ 40g ks</t>
        </is>
      </c>
      <c r="D712" s="49" t="n"/>
      <c r="E712" s="49" t="n"/>
      <c r="F712" s="49" t="inlineStr">
        <is>
          <t>8594056693504</t>
        </is>
      </c>
      <c r="G712" s="49" t="n">
        <v>47.32</v>
      </c>
      <c r="H712" s="49" t="n"/>
      <c r="I712" s="49" t="n">
        <v>12</v>
      </c>
      <c r="J712" s="49" t="n"/>
      <c r="K712" s="49" t="n"/>
    </row>
    <row r="713" ht="12.8" customHeight="1" s="26">
      <c r="A713" t="inlineStr">
        <is>
          <t>96115</t>
        </is>
      </c>
      <c r="B713" t="n">
        <v>0</v>
      </c>
      <c r="C713" t="inlineStr">
        <is>
          <t>Líska obecná list 40g ks</t>
        </is>
      </c>
      <c r="F713" t="inlineStr">
        <is>
          <t>8594056695164</t>
        </is>
      </c>
      <c r="G713" t="n">
        <v>31.25</v>
      </c>
      <c r="H713">
        <f>G713 * B713</f>
        <v/>
      </c>
      <c r="I713" t="n">
        <v>12</v>
      </c>
      <c r="J713">
        <f>35 * B713</f>
        <v/>
      </c>
    </row>
    <row r="714" ht="12.8" customHeight="1" s="26">
      <c r="A714" t="inlineStr">
        <is>
          <t>96116</t>
        </is>
      </c>
      <c r="B714" t="n">
        <v>0</v>
      </c>
      <c r="C714" t="inlineStr">
        <is>
          <t>Lišejník islandský stélka 50g ks</t>
        </is>
      </c>
      <c r="F714" t="inlineStr">
        <is>
          <t>8594056694518</t>
        </is>
      </c>
      <c r="G714" t="n">
        <v>41.07</v>
      </c>
      <c r="H714">
        <f>G714 * B714</f>
        <v/>
      </c>
      <c r="I714" t="n">
        <v>12</v>
      </c>
      <c r="J714">
        <f>46 * B714</f>
        <v/>
      </c>
    </row>
    <row r="715" ht="12.8" customHeight="1" s="26">
      <c r="A715" t="inlineStr">
        <is>
          <t>96117</t>
        </is>
      </c>
      <c r="B715" t="n">
        <v>0</v>
      </c>
      <c r="C715" t="inlineStr">
        <is>
          <t>Lněné (Len setý) semeno 150g ks</t>
        </is>
      </c>
      <c r="F715" t="inlineStr">
        <is>
          <t>8594056695911</t>
        </is>
      </c>
      <c r="G715" t="n">
        <v>24.11</v>
      </c>
      <c r="H715">
        <f>G715 * B715</f>
        <v/>
      </c>
      <c r="I715" t="n">
        <v>12</v>
      </c>
      <c r="J715">
        <f>27 * B715</f>
        <v/>
      </c>
    </row>
    <row r="716" ht="12.8" customHeight="1" s="26">
      <c r="A716" t="inlineStr">
        <is>
          <t>96118</t>
        </is>
      </c>
      <c r="B716" t="n">
        <v>0</v>
      </c>
      <c r="C716" t="inlineStr">
        <is>
          <t>Lnice květel nať 50g ks</t>
        </is>
      </c>
      <c r="F716" t="inlineStr">
        <is>
          <t>8594056693863</t>
        </is>
      </c>
      <c r="G716" t="n">
        <v>45.54</v>
      </c>
      <c r="H716">
        <f>G716 * B716</f>
        <v/>
      </c>
      <c r="I716" t="n">
        <v>12</v>
      </c>
      <c r="J716">
        <f>51 * B716</f>
        <v/>
      </c>
    </row>
    <row r="717" ht="12.8" customHeight="1" s="26">
      <c r="A717" t="inlineStr">
        <is>
          <t>96120</t>
        </is>
      </c>
      <c r="B717" t="n">
        <v>0</v>
      </c>
      <c r="C717" t="inlineStr">
        <is>
          <t>Lopuch větší kořen 100g ks</t>
        </is>
      </c>
      <c r="F717" t="inlineStr">
        <is>
          <t>8594056693412</t>
        </is>
      </c>
      <c r="G717" t="n">
        <v>64.29000000000001</v>
      </c>
      <c r="H717">
        <f>G717 * B717</f>
        <v/>
      </c>
      <c r="I717" t="n">
        <v>12</v>
      </c>
      <c r="J717">
        <f>72 * B717</f>
        <v/>
      </c>
    </row>
    <row r="718" ht="12.8" customHeight="1" s="26">
      <c r="A718" t="inlineStr">
        <is>
          <t>96121</t>
        </is>
      </c>
      <c r="B718" t="n">
        <v>0</v>
      </c>
      <c r="C718" t="inlineStr">
        <is>
          <t>Lžičník lékařský nať 50g ks</t>
        </is>
      </c>
      <c r="F718" t="inlineStr">
        <is>
          <t>8594056694242</t>
        </is>
      </c>
      <c r="G718" t="n">
        <v>50</v>
      </c>
      <c r="H718">
        <f>G718 * B718</f>
        <v/>
      </c>
      <c r="I718" t="n">
        <v>12</v>
      </c>
      <c r="J718">
        <f>56 * B718</f>
        <v/>
      </c>
    </row>
    <row r="719" ht="12.8" customHeight="1" s="26">
      <c r="A719" t="inlineStr">
        <is>
          <t>96122</t>
        </is>
      </c>
      <c r="B719" t="n">
        <v>0</v>
      </c>
      <c r="C719" t="inlineStr">
        <is>
          <t>Majoránka zahradní nať 40g ks</t>
        </is>
      </c>
      <c r="F719" t="inlineStr">
        <is>
          <t>8594056693108</t>
        </is>
      </c>
      <c r="G719" t="n">
        <v>27.68</v>
      </c>
      <c r="H719">
        <f>G719 * B719</f>
        <v/>
      </c>
      <c r="I719" t="n">
        <v>12</v>
      </c>
      <c r="J719">
        <f>31 * B719</f>
        <v/>
      </c>
    </row>
    <row r="720" ht="12.8" customHeight="1" s="26">
      <c r="A720" t="inlineStr">
        <is>
          <t>96123</t>
        </is>
      </c>
      <c r="B720" t="n">
        <v>0</v>
      </c>
      <c r="C720" t="inlineStr">
        <is>
          <t>Maliník obecný list 40g ks</t>
        </is>
      </c>
      <c r="F720" t="inlineStr">
        <is>
          <t>8594056693399</t>
        </is>
      </c>
      <c r="G720" t="n">
        <v>26.79</v>
      </c>
      <c r="H720">
        <f>G720 * B720</f>
        <v/>
      </c>
      <c r="I720" t="n">
        <v>12</v>
      </c>
      <c r="J720">
        <f>30 * B720</f>
        <v/>
      </c>
    </row>
    <row r="721" ht="12.8" customHeight="1" s="26">
      <c r="A721" s="49" t="inlineStr">
        <is>
          <t>96124</t>
        </is>
      </c>
      <c r="B721" s="49" t="inlineStr">
        <is>
          <t>-</t>
        </is>
      </c>
      <c r="C721" s="49" t="inlineStr">
        <is>
          <t>Maral kořen (Parcha léčivá-leuzea) 50g ks</t>
        </is>
      </c>
      <c r="D721" s="49" t="n"/>
      <c r="E721" s="49" t="n"/>
      <c r="F721" s="49" t="inlineStr">
        <is>
          <t>8594056693955</t>
        </is>
      </c>
      <c r="G721" s="49" t="n">
        <v>116.96</v>
      </c>
      <c r="H721" s="49" t="n"/>
      <c r="I721" s="49" t="n">
        <v>12</v>
      </c>
      <c r="J721" s="49" t="n"/>
      <c r="K721" s="49" t="n"/>
    </row>
    <row r="722" ht="12.8" customHeight="1" s="26">
      <c r="A722" t="inlineStr">
        <is>
          <t>96125</t>
        </is>
      </c>
      <c r="B722" t="n">
        <v>0</v>
      </c>
      <c r="C722" t="inlineStr">
        <is>
          <t>Maral nať (Parcha léčivá-leuzea) 40g ks</t>
        </is>
      </c>
      <c r="F722" t="inlineStr">
        <is>
          <t>8594056694419</t>
        </is>
      </c>
      <c r="G722" t="n">
        <v>33.04</v>
      </c>
      <c r="H722">
        <f>G722 * B722</f>
        <v/>
      </c>
      <c r="I722" t="n">
        <v>12</v>
      </c>
      <c r="J722">
        <f>37 * B722</f>
        <v/>
      </c>
    </row>
    <row r="723" ht="12.8" customHeight="1" s="26">
      <c r="A723" t="inlineStr">
        <is>
          <t>96126</t>
        </is>
      </c>
      <c r="B723" t="n">
        <v>0</v>
      </c>
      <c r="C723" t="inlineStr">
        <is>
          <t>Mařinka vonná nať 20g ks</t>
        </is>
      </c>
      <c r="F723" t="inlineStr">
        <is>
          <t>8594056694389</t>
        </is>
      </c>
      <c r="G723" t="n">
        <v>21.43</v>
      </c>
      <c r="H723">
        <f>G723 * B723</f>
        <v/>
      </c>
      <c r="I723" t="n">
        <v>12</v>
      </c>
      <c r="J723">
        <f>24 * B723</f>
        <v/>
      </c>
    </row>
    <row r="724" ht="12.8" customHeight="1" s="26">
      <c r="A724" t="inlineStr">
        <is>
          <t>96127</t>
        </is>
      </c>
      <c r="B724" t="n">
        <v>0</v>
      </c>
      <c r="C724" t="inlineStr">
        <is>
          <t>Máta peprná nať 40g ks</t>
        </is>
      </c>
      <c r="F724" t="inlineStr">
        <is>
          <t>8594056690565</t>
        </is>
      </c>
      <c r="G724" t="n">
        <v>28.57</v>
      </c>
      <c r="H724">
        <f>G724 * B724</f>
        <v/>
      </c>
      <c r="I724" t="n">
        <v>12</v>
      </c>
      <c r="J724">
        <f>32 * B724</f>
        <v/>
      </c>
    </row>
    <row r="725" ht="12.8" customHeight="1" s="26">
      <c r="A725" t="inlineStr">
        <is>
          <t>96128</t>
        </is>
      </c>
      <c r="B725" t="n">
        <v>0</v>
      </c>
      <c r="C725" t="inlineStr">
        <is>
          <t>Mateřídouška obecná nať 40g ks</t>
        </is>
      </c>
      <c r="F725" t="inlineStr">
        <is>
          <t>8594056690558</t>
        </is>
      </c>
      <c r="G725" t="n">
        <v>26.79</v>
      </c>
      <c r="H725">
        <f>G725 * B725</f>
        <v/>
      </c>
      <c r="I725" t="n">
        <v>12</v>
      </c>
      <c r="J725">
        <f>30 * B725</f>
        <v/>
      </c>
    </row>
    <row r="726" ht="12.8" customHeight="1" s="26">
      <c r="A726" t="inlineStr">
        <is>
          <t>96129</t>
        </is>
      </c>
      <c r="B726" t="n">
        <v>0</v>
      </c>
      <c r="C726" t="inlineStr">
        <is>
          <t>Meduňka lékařská nať 40g ks</t>
        </is>
      </c>
      <c r="F726" t="inlineStr">
        <is>
          <t>8594056690572</t>
        </is>
      </c>
      <c r="G726" t="n">
        <v>26.79</v>
      </c>
      <c r="H726">
        <f>G726 * B726</f>
        <v/>
      </c>
      <c r="I726" t="n">
        <v>12</v>
      </c>
      <c r="J726">
        <f>30 * B726</f>
        <v/>
      </c>
    </row>
    <row r="727" ht="12.8" customHeight="1" s="26">
      <c r="A727" t="inlineStr">
        <is>
          <t>96130</t>
        </is>
      </c>
      <c r="B727" t="n">
        <v>0</v>
      </c>
      <c r="C727" t="inlineStr">
        <is>
          <t>Medvědice lékařská list 50g ks</t>
        </is>
      </c>
      <c r="F727" t="inlineStr">
        <is>
          <t>8594056694105</t>
        </is>
      </c>
      <c r="G727" t="n">
        <v>41.96</v>
      </c>
      <c r="H727">
        <f>G727 * B727</f>
        <v/>
      </c>
      <c r="I727" t="n">
        <v>12</v>
      </c>
      <c r="J727">
        <f>47 * B727</f>
        <v/>
      </c>
    </row>
    <row r="728" ht="12.8" customHeight="1" s="26">
      <c r="A728" t="inlineStr">
        <is>
          <t>96131</t>
        </is>
      </c>
      <c r="B728" t="n">
        <v>0</v>
      </c>
      <c r="C728" t="inlineStr">
        <is>
          <t>Měsíček květ - bez zákrovu 20g ks</t>
        </is>
      </c>
      <c r="F728" t="inlineStr">
        <is>
          <t>8594056693597</t>
        </is>
      </c>
      <c r="G728" t="n">
        <v>25</v>
      </c>
      <c r="H728">
        <f>G728 * B728</f>
        <v/>
      </c>
      <c r="I728" t="n">
        <v>12</v>
      </c>
      <c r="J728">
        <f>28 * B728</f>
        <v/>
      </c>
    </row>
    <row r="729" ht="12.8" customHeight="1" s="26">
      <c r="A729" t="inlineStr">
        <is>
          <t>96132</t>
        </is>
      </c>
      <c r="B729" t="n">
        <v>0</v>
      </c>
      <c r="C729" t="inlineStr">
        <is>
          <t>Měsíček květ - se zákrovem 20g ks</t>
        </is>
      </c>
      <c r="F729" t="inlineStr">
        <is>
          <t>8594056693085</t>
        </is>
      </c>
      <c r="G729" t="n">
        <v>24.11</v>
      </c>
      <c r="H729">
        <f>G729 * B729</f>
        <v/>
      </c>
      <c r="I729" t="n">
        <v>12</v>
      </c>
      <c r="J729">
        <f>27 * B729</f>
        <v/>
      </c>
    </row>
    <row r="730" ht="12.8" customHeight="1" s="26">
      <c r="A730" t="inlineStr">
        <is>
          <t>961321</t>
        </is>
      </c>
      <c r="B730" t="n">
        <v>0</v>
      </c>
      <c r="C730" t="inlineStr">
        <is>
          <t>Měsíček květ - se zákrovem řezaný 30g ks</t>
        </is>
      </c>
      <c r="F730" t="inlineStr">
        <is>
          <t>8594056696390</t>
        </is>
      </c>
      <c r="G730" t="n">
        <v>34.82</v>
      </c>
      <c r="H730">
        <f>G730 * B730</f>
        <v/>
      </c>
      <c r="I730" t="n">
        <v>12</v>
      </c>
      <c r="J730">
        <f>39 * B730</f>
        <v/>
      </c>
    </row>
    <row r="731" ht="12.8" customHeight="1" s="26">
      <c r="A731" t="inlineStr">
        <is>
          <t>96133</t>
        </is>
      </c>
      <c r="B731" t="n">
        <v>0</v>
      </c>
      <c r="C731" t="inlineStr">
        <is>
          <t>Mochna husí nať 40g ks</t>
        </is>
      </c>
      <c r="F731" t="inlineStr">
        <is>
          <t>8594056694136</t>
        </is>
      </c>
      <c r="G731" t="n">
        <v>33.93</v>
      </c>
      <c r="H731">
        <f>G731 * B731</f>
        <v/>
      </c>
      <c r="I731" t="n">
        <v>12</v>
      </c>
      <c r="J731">
        <f>38 * B731</f>
        <v/>
      </c>
    </row>
    <row r="732" ht="12.8" customHeight="1" s="26">
      <c r="A732" t="inlineStr">
        <is>
          <t>96134</t>
        </is>
      </c>
      <c r="B732" t="n">
        <v>0</v>
      </c>
      <c r="C732" t="inlineStr">
        <is>
          <t>Mochna nátržník kořen 50g ks</t>
        </is>
      </c>
      <c r="F732" t="inlineStr">
        <is>
          <t>8594056694341</t>
        </is>
      </c>
      <c r="G732" t="n">
        <v>40.18</v>
      </c>
      <c r="H732">
        <f>G732 * B732</f>
        <v/>
      </c>
      <c r="I732" t="n">
        <v>12</v>
      </c>
      <c r="J732">
        <f>45 * B732</f>
        <v/>
      </c>
    </row>
    <row r="733" ht="12.8" customHeight="1" s="26">
      <c r="A733" t="inlineStr">
        <is>
          <t>96135</t>
        </is>
      </c>
      <c r="B733" t="n">
        <v>0</v>
      </c>
      <c r="C733" t="inlineStr">
        <is>
          <t>Mochna stříbrná nať 50g ks</t>
        </is>
      </c>
      <c r="F733" t="inlineStr">
        <is>
          <t>8594056694495</t>
        </is>
      </c>
      <c r="G733" t="n">
        <v>33.93</v>
      </c>
      <c r="H733">
        <f>G733 * B733</f>
        <v/>
      </c>
      <c r="I733" t="n">
        <v>12</v>
      </c>
      <c r="J733">
        <f>38 * B733</f>
        <v/>
      </c>
    </row>
    <row r="734" ht="12.8" customHeight="1" s="26">
      <c r="A734" t="inlineStr">
        <is>
          <t>96136</t>
        </is>
      </c>
      <c r="B734" t="n">
        <v>0</v>
      </c>
      <c r="C734" t="inlineStr">
        <is>
          <t>Mučenka pletní nať 50g ks</t>
        </is>
      </c>
      <c r="F734" t="inlineStr">
        <is>
          <t>8594056695171</t>
        </is>
      </c>
      <c r="G734" t="n">
        <v>39.29</v>
      </c>
      <c r="H734">
        <f>G734 * B734</f>
        <v/>
      </c>
      <c r="I734" t="n">
        <v>12</v>
      </c>
      <c r="J734">
        <f>44 * B734</f>
        <v/>
      </c>
    </row>
    <row r="735" ht="12.8" customHeight="1" s="26">
      <c r="A735" s="49" t="inlineStr">
        <is>
          <t>961361</t>
        </is>
      </c>
      <c r="B735" s="49" t="inlineStr">
        <is>
          <t>-</t>
        </is>
      </c>
      <c r="C735" s="49" t="inlineStr">
        <is>
          <t>Muškátovník vonný (květ) celý 20g ks</t>
        </is>
      </c>
      <c r="D735" s="49" t="n"/>
      <c r="E735" s="49" t="n"/>
      <c r="F735" s="49" t="inlineStr">
        <is>
          <t>8594056696864</t>
        </is>
      </c>
      <c r="G735" s="49" t="n">
        <v>78.56999999999999</v>
      </c>
      <c r="H735" s="49" t="n"/>
      <c r="I735" s="49" t="n">
        <v>12</v>
      </c>
      <c r="J735" s="49" t="n"/>
      <c r="K735" s="49" t="n"/>
    </row>
    <row r="736" ht="12.8" customHeight="1" s="26">
      <c r="A736" t="inlineStr">
        <is>
          <t>961362</t>
        </is>
      </c>
      <c r="B736" t="n">
        <v>0</v>
      </c>
      <c r="C736" t="inlineStr">
        <is>
          <t>Muškátovník vonný (květ) mletý 50g ks</t>
        </is>
      </c>
      <c r="F736" t="inlineStr">
        <is>
          <t>8594056696871</t>
        </is>
      </c>
      <c r="G736" t="n">
        <v>98.20999999999999</v>
      </c>
      <c r="H736">
        <f>G736 * B736</f>
        <v/>
      </c>
      <c r="I736" t="n">
        <v>12</v>
      </c>
      <c r="J736">
        <f>110 * B736</f>
        <v/>
      </c>
    </row>
    <row r="737" ht="12.8" customHeight="1" s="26">
      <c r="A737" t="inlineStr">
        <is>
          <t>961363</t>
        </is>
      </c>
      <c r="B737" t="n">
        <v>0</v>
      </c>
      <c r="C737" t="inlineStr">
        <is>
          <t>Muškátovník vonný (ořech) celý 50g ks</t>
        </is>
      </c>
      <c r="F737" t="inlineStr">
        <is>
          <t>8594056696888</t>
        </is>
      </c>
      <c r="G737" t="n">
        <v>50</v>
      </c>
      <c r="H737">
        <f>G737 * B737</f>
        <v/>
      </c>
      <c r="I737" t="n">
        <v>12</v>
      </c>
      <c r="J737">
        <f>56 * B737</f>
        <v/>
      </c>
    </row>
    <row r="738" ht="12.8" customHeight="1" s="26">
      <c r="A738" t="inlineStr">
        <is>
          <t>961364</t>
        </is>
      </c>
      <c r="B738" t="n">
        <v>0</v>
      </c>
      <c r="C738" t="inlineStr">
        <is>
          <t>Muškátovník vonný (ořech) mletý 100g ks</t>
        </is>
      </c>
      <c r="F738" t="inlineStr">
        <is>
          <t>8594056696895</t>
        </is>
      </c>
      <c r="G738" t="n">
        <v>87.5</v>
      </c>
      <c r="H738">
        <f>G738 * B738</f>
        <v/>
      </c>
      <c r="I738" t="n">
        <v>12</v>
      </c>
      <c r="J738">
        <f>98 * B738</f>
        <v/>
      </c>
    </row>
    <row r="739" ht="12.8" customHeight="1" s="26">
      <c r="A739" t="inlineStr">
        <is>
          <t>96137</t>
        </is>
      </c>
      <c r="B739" t="n">
        <v>0</v>
      </c>
      <c r="C739" t="inlineStr">
        <is>
          <t>Mydlice lékařská kořen 50g ks</t>
        </is>
      </c>
      <c r="F739" t="inlineStr">
        <is>
          <t>8594056694198</t>
        </is>
      </c>
      <c r="G739" t="n">
        <v>51.79</v>
      </c>
      <c r="H739">
        <f>G739 * B739</f>
        <v/>
      </c>
      <c r="I739" t="n">
        <v>12</v>
      </c>
      <c r="J739">
        <f>58 * B739</f>
        <v/>
      </c>
    </row>
    <row r="740" ht="12.8" customHeight="1" s="26">
      <c r="A740" t="inlineStr">
        <is>
          <t>961371</t>
        </is>
      </c>
      <c r="B740" t="n">
        <v>0</v>
      </c>
      <c r="C740" t="inlineStr">
        <is>
          <t>Nové koření (Pimentovník pravý) plod celý 50g ks</t>
        </is>
      </c>
      <c r="F740" t="inlineStr">
        <is>
          <t>8594056696949</t>
        </is>
      </c>
      <c r="G740" t="n">
        <v>31.25</v>
      </c>
      <c r="H740">
        <f>G740 * B740</f>
        <v/>
      </c>
      <c r="I740" t="n">
        <v>12</v>
      </c>
      <c r="J740">
        <f>35 * B740</f>
        <v/>
      </c>
    </row>
    <row r="741" ht="12.8" customHeight="1" s="26">
      <c r="A741" t="inlineStr">
        <is>
          <t>961372</t>
        </is>
      </c>
      <c r="B741" t="n">
        <v>0</v>
      </c>
      <c r="C741" t="inlineStr">
        <is>
          <t>Nové koření (Pimentovník pravý) plod mletý 100g ks</t>
        </is>
      </c>
      <c r="F741" t="inlineStr">
        <is>
          <t>8594056696956</t>
        </is>
      </c>
      <c r="G741" t="n">
        <v>48.21</v>
      </c>
      <c r="H741">
        <f>G741 * B741</f>
        <v/>
      </c>
      <c r="I741" t="n">
        <v>12</v>
      </c>
      <c r="J741">
        <f>54 * B741</f>
        <v/>
      </c>
    </row>
    <row r="742" ht="12.8" customHeight="1" s="26">
      <c r="A742" t="inlineStr">
        <is>
          <t>96138</t>
        </is>
      </c>
      <c r="B742" t="n">
        <v>0</v>
      </c>
      <c r="C742" t="inlineStr">
        <is>
          <t>Oman pravý kořen 50g ks</t>
        </is>
      </c>
      <c r="F742" t="inlineStr">
        <is>
          <t>8594056694211</t>
        </is>
      </c>
      <c r="G742" t="n">
        <v>36.61</v>
      </c>
      <c r="H742">
        <f>G742 * B742</f>
        <v/>
      </c>
      <c r="I742" t="n">
        <v>12</v>
      </c>
      <c r="J742">
        <f>41 * B742</f>
        <v/>
      </c>
    </row>
    <row r="743" ht="12.8" customHeight="1" s="26">
      <c r="A743" t="inlineStr">
        <is>
          <t>96139</t>
        </is>
      </c>
      <c r="B743" t="n">
        <v>0</v>
      </c>
      <c r="C743" t="inlineStr">
        <is>
          <t>Ořešák královský list 40g ks</t>
        </is>
      </c>
      <c r="F743" t="inlineStr">
        <is>
          <t>8594056694228</t>
        </is>
      </c>
      <c r="G743" t="n">
        <v>25.89</v>
      </c>
      <c r="H743">
        <f>G743 * B743</f>
        <v/>
      </c>
      <c r="I743" t="n">
        <v>12</v>
      </c>
      <c r="J743">
        <f>29 * B743</f>
        <v/>
      </c>
    </row>
    <row r="744" ht="12.8" customHeight="1" s="26">
      <c r="A744" t="inlineStr">
        <is>
          <t>96141</t>
        </is>
      </c>
      <c r="B744" t="n">
        <v>0</v>
      </c>
      <c r="C744" t="inlineStr">
        <is>
          <t>Ostropestřec mariánský plod 150g ks</t>
        </is>
      </c>
      <c r="F744" t="inlineStr">
        <is>
          <t>8594056693023</t>
        </is>
      </c>
      <c r="G744" t="n">
        <v>41.96</v>
      </c>
      <c r="H744">
        <f>G744 * B744</f>
        <v/>
      </c>
      <c r="I744" t="n">
        <v>12</v>
      </c>
      <c r="J744">
        <f>47 * B744</f>
        <v/>
      </c>
    </row>
    <row r="745" ht="12.8" customHeight="1" s="26">
      <c r="A745" t="inlineStr">
        <is>
          <t>96142</t>
        </is>
      </c>
      <c r="B745" t="n">
        <v>0</v>
      </c>
      <c r="C745" t="inlineStr">
        <is>
          <t>Ostropestřec mariánský plod tlučený 150g ks</t>
        </is>
      </c>
      <c r="F745" t="inlineStr">
        <is>
          <t>8594056694587</t>
        </is>
      </c>
      <c r="G745" t="n">
        <v>43.75</v>
      </c>
      <c r="H745">
        <f>G745 * B745</f>
        <v/>
      </c>
      <c r="I745" t="n">
        <v>12</v>
      </c>
      <c r="J745">
        <f>49 * B745</f>
        <v/>
      </c>
    </row>
    <row r="746" ht="12.8" customHeight="1" s="26">
      <c r="A746" t="inlineStr">
        <is>
          <t>96143</t>
        </is>
      </c>
      <c r="B746" t="n">
        <v>0</v>
      </c>
      <c r="C746" t="inlineStr">
        <is>
          <t>Ostružiník křovitý list 40g ks</t>
        </is>
      </c>
      <c r="F746" t="inlineStr">
        <is>
          <t>8594056694273</t>
        </is>
      </c>
      <c r="G746" t="n">
        <v>26.79</v>
      </c>
      <c r="H746">
        <f>G746 * B746</f>
        <v/>
      </c>
      <c r="I746" t="n">
        <v>12</v>
      </c>
      <c r="J746">
        <f>30 * B746</f>
        <v/>
      </c>
    </row>
    <row r="747" ht="12.8" customHeight="1" s="26">
      <c r="A747" t="inlineStr">
        <is>
          <t>96144</t>
        </is>
      </c>
      <c r="B747" t="n">
        <v>0</v>
      </c>
      <c r="C747" t="inlineStr">
        <is>
          <t>Pampeliška lékařská kořen 100g ks</t>
        </is>
      </c>
      <c r="F747" t="inlineStr">
        <is>
          <t>8594056693498</t>
        </is>
      </c>
      <c r="G747" t="n">
        <v>74.11</v>
      </c>
      <c r="H747">
        <f>G747 * B747</f>
        <v/>
      </c>
      <c r="I747" t="n">
        <v>12</v>
      </c>
      <c r="J747">
        <f>83 * B747</f>
        <v/>
      </c>
    </row>
    <row r="748" ht="12.8" customHeight="1" s="26">
      <c r="A748" t="inlineStr">
        <is>
          <t>96145</t>
        </is>
      </c>
      <c r="B748" t="n">
        <v>0</v>
      </c>
      <c r="C748" t="inlineStr">
        <is>
          <t>Pampeliška lékařská list 40g ks</t>
        </is>
      </c>
      <c r="F748" t="inlineStr">
        <is>
          <t>8594056693368</t>
        </is>
      </c>
      <c r="G748" t="n">
        <v>28.57</v>
      </c>
      <c r="H748">
        <f>G748 * B748</f>
        <v/>
      </c>
      <c r="I748" t="n">
        <v>12</v>
      </c>
      <c r="J748">
        <f>32 * B748</f>
        <v/>
      </c>
    </row>
    <row r="749" ht="12.8" customHeight="1" s="26">
      <c r="A749" s="49" t="inlineStr">
        <is>
          <t>96147</t>
        </is>
      </c>
      <c r="B749" s="49" t="inlineStr">
        <is>
          <t>-</t>
        </is>
      </c>
      <c r="C749" s="49" t="inlineStr">
        <is>
          <t>Pelyněk černobýl nať 40g ks</t>
        </is>
      </c>
      <c r="D749" s="49" t="n"/>
      <c r="E749" s="49" t="n"/>
      <c r="F749" s="49" t="inlineStr">
        <is>
          <t>8594056695768</t>
        </is>
      </c>
      <c r="G749" s="49" t="n">
        <v>28.57</v>
      </c>
      <c r="H749" s="49" t="n"/>
      <c r="I749" s="49" t="n">
        <v>12</v>
      </c>
      <c r="J749" s="49" t="n"/>
      <c r="K749" s="49" t="n"/>
    </row>
    <row r="750" ht="12.8" customHeight="1" s="26">
      <c r="A750" t="inlineStr">
        <is>
          <t>96148</t>
        </is>
      </c>
      <c r="B750" t="n">
        <v>0</v>
      </c>
      <c r="C750" t="inlineStr">
        <is>
          <t>Pelyněk pravý nať 40g ks</t>
        </is>
      </c>
      <c r="F750" t="inlineStr">
        <is>
          <t>8594056694327</t>
        </is>
      </c>
      <c r="G750" t="n">
        <v>29.46</v>
      </c>
      <c r="H750">
        <f>G750 * B750</f>
        <v/>
      </c>
      <c r="I750" t="n">
        <v>12</v>
      </c>
      <c r="J750">
        <f>33 * B750</f>
        <v/>
      </c>
    </row>
    <row r="751" ht="12.8" customHeight="1" s="26">
      <c r="A751" t="inlineStr">
        <is>
          <t>961481</t>
        </is>
      </c>
      <c r="B751" t="n">
        <v>0</v>
      </c>
      <c r="C751" t="inlineStr">
        <is>
          <t>Pepř bílý (Pepřovník) plod celý 100g ks</t>
        </is>
      </c>
      <c r="F751" t="inlineStr">
        <is>
          <t>8594056696963</t>
        </is>
      </c>
      <c r="G751" t="n">
        <v>49.11</v>
      </c>
      <c r="H751">
        <f>G751 * B751</f>
        <v/>
      </c>
      <c r="I751" t="n">
        <v>12</v>
      </c>
      <c r="J751">
        <f>55 * B751</f>
        <v/>
      </c>
    </row>
    <row r="752" ht="12.8" customHeight="1" s="26">
      <c r="A752" s="49" t="inlineStr">
        <is>
          <t>961482</t>
        </is>
      </c>
      <c r="B752" s="49" t="inlineStr">
        <is>
          <t>-</t>
        </is>
      </c>
      <c r="C752" s="49" t="inlineStr">
        <is>
          <t>Pepř černý (Pepřovník) plod celý 100g ks</t>
        </is>
      </c>
      <c r="D752" s="49" t="n"/>
      <c r="E752" s="49" t="n"/>
      <c r="F752" s="49" t="inlineStr">
        <is>
          <t>8594056696901</t>
        </is>
      </c>
      <c r="G752" s="49" t="n">
        <v>36.61</v>
      </c>
      <c r="H752" s="49" t="n"/>
      <c r="I752" s="49" t="n">
        <v>12</v>
      </c>
      <c r="J752" s="49" t="n"/>
      <c r="K752" s="49" t="n"/>
    </row>
    <row r="753" ht="12.8" customHeight="1" s="26">
      <c r="A753" s="49" t="inlineStr">
        <is>
          <t>961483</t>
        </is>
      </c>
      <c r="B753" s="49" t="inlineStr">
        <is>
          <t>-</t>
        </is>
      </c>
      <c r="C753" s="49" t="inlineStr">
        <is>
          <t>Pepř černý (Pepřovník) plod mletý 100g ks</t>
        </is>
      </c>
      <c r="D753" s="49" t="n"/>
      <c r="E753" s="49" t="n"/>
      <c r="F753" s="49" t="inlineStr">
        <is>
          <t>8594056696918</t>
        </is>
      </c>
      <c r="G753" s="49" t="n">
        <v>33.04</v>
      </c>
      <c r="H753" s="49" t="n"/>
      <c r="I753" s="49" t="n">
        <v>12</v>
      </c>
      <c r="J753" s="49" t="n"/>
      <c r="K753" s="49" t="n"/>
    </row>
    <row r="754" ht="12.8" customHeight="1" s="26">
      <c r="A754" s="49" t="inlineStr">
        <is>
          <t>961484</t>
        </is>
      </c>
      <c r="B754" s="49" t="inlineStr">
        <is>
          <t>-</t>
        </is>
      </c>
      <c r="C754" s="49" t="inlineStr">
        <is>
          <t>Pepř červený (Pepřovník) plod celý 100g ks</t>
        </is>
      </c>
      <c r="D754" s="49" t="n"/>
      <c r="E754" s="49" t="n"/>
      <c r="F754" s="49" t="inlineStr">
        <is>
          <t>8594056696970</t>
        </is>
      </c>
      <c r="G754" s="49" t="n">
        <v>78.56999999999999</v>
      </c>
      <c r="H754" s="49" t="n"/>
      <c r="I754" s="49" t="n">
        <v>12</v>
      </c>
      <c r="J754" s="49" t="n"/>
      <c r="K754" s="49" t="n"/>
    </row>
    <row r="755" ht="12.8" customHeight="1" s="26">
      <c r="A755" s="49" t="inlineStr">
        <is>
          <t>961485</t>
        </is>
      </c>
      <c r="B755" s="49" t="inlineStr">
        <is>
          <t>-</t>
        </is>
      </c>
      <c r="C755" s="49" t="inlineStr">
        <is>
          <t>Pepř čtyř barev (Pepřovník) plod celý 100g ks</t>
        </is>
      </c>
      <c r="D755" s="49" t="n"/>
      <c r="E755" s="49" t="n"/>
      <c r="F755" s="49" t="inlineStr">
        <is>
          <t>8594056696994</t>
        </is>
      </c>
      <c r="G755" s="49" t="n">
        <v>57.14</v>
      </c>
      <c r="H755" s="49" t="n"/>
      <c r="I755" s="49" t="n">
        <v>12</v>
      </c>
      <c r="J755" s="49" t="n"/>
      <c r="K755" s="49" t="n"/>
    </row>
    <row r="756" ht="12.8" customHeight="1" s="26">
      <c r="A756" s="49" t="inlineStr">
        <is>
          <t>961486</t>
        </is>
      </c>
      <c r="B756" s="49" t="inlineStr">
        <is>
          <t>-</t>
        </is>
      </c>
      <c r="C756" s="49" t="inlineStr">
        <is>
          <t>Pepř zelený (Pepřovník) plod celý 100g ks</t>
        </is>
      </c>
      <c r="D756" s="49" t="n"/>
      <c r="E756" s="49" t="n"/>
      <c r="F756" s="49" t="inlineStr">
        <is>
          <t>8594056696987</t>
        </is>
      </c>
      <c r="G756" s="49" t="n">
        <v>81.25</v>
      </c>
      <c r="H756" s="49" t="n"/>
      <c r="I756" s="49" t="n">
        <v>12</v>
      </c>
      <c r="J756" s="49" t="n"/>
      <c r="K756" s="49" t="n"/>
    </row>
    <row r="757" ht="12.8" customHeight="1" s="26">
      <c r="A757" t="inlineStr">
        <is>
          <t>96151</t>
        </is>
      </c>
      <c r="B757" t="n">
        <v>0</v>
      </c>
      <c r="C757" t="inlineStr">
        <is>
          <t>Pivoňka lékařská květ 20g ks</t>
        </is>
      </c>
      <c r="F757" t="inlineStr">
        <is>
          <t>8594056694280</t>
        </is>
      </c>
      <c r="G757" t="n">
        <v>25</v>
      </c>
      <c r="H757">
        <f>G757 * B757</f>
        <v/>
      </c>
      <c r="I757" t="n">
        <v>12</v>
      </c>
      <c r="J757">
        <f>28 * B757</f>
        <v/>
      </c>
    </row>
    <row r="758" ht="12.8" customHeight="1" s="26">
      <c r="A758" t="inlineStr">
        <is>
          <t>96152</t>
        </is>
      </c>
      <c r="B758" t="n">
        <v>0</v>
      </c>
      <c r="C758" t="inlineStr">
        <is>
          <t>Plavuň vidlačka nať 40g ks</t>
        </is>
      </c>
      <c r="F758" t="inlineStr">
        <is>
          <t>8594056693856</t>
        </is>
      </c>
      <c r="G758" t="n">
        <v>32.14</v>
      </c>
      <c r="H758">
        <f>G758 * B758</f>
        <v/>
      </c>
      <c r="I758" t="n">
        <v>12</v>
      </c>
      <c r="J758">
        <f>36 * B758</f>
        <v/>
      </c>
    </row>
    <row r="759" ht="12.8" customHeight="1" s="26">
      <c r="A759" t="inlineStr">
        <is>
          <t>96153</t>
        </is>
      </c>
      <c r="B759" t="n">
        <v>0</v>
      </c>
      <c r="C759" t="inlineStr">
        <is>
          <t>Plicník lékařský list 40g ks</t>
        </is>
      </c>
      <c r="F759" t="inlineStr">
        <is>
          <t>8594056693061</t>
        </is>
      </c>
      <c r="G759" t="n">
        <v>40.18</v>
      </c>
      <c r="H759">
        <f>G759 * B759</f>
        <v/>
      </c>
      <c r="I759" t="n">
        <v>12</v>
      </c>
      <c r="J759">
        <f>45 * B759</f>
        <v/>
      </c>
    </row>
    <row r="760" ht="12.8" customHeight="1" s="26">
      <c r="A760" t="inlineStr">
        <is>
          <t>96154</t>
        </is>
      </c>
      <c r="B760" t="n">
        <v>0</v>
      </c>
      <c r="C760" t="inlineStr">
        <is>
          <t>Podběl lékařský květ 20g ks</t>
        </is>
      </c>
      <c r="F760" t="inlineStr">
        <is>
          <t>8594056693306</t>
        </is>
      </c>
      <c r="G760" t="n">
        <v>35.71</v>
      </c>
      <c r="H760">
        <f>G760 * B760</f>
        <v/>
      </c>
      <c r="I760" t="n">
        <v>12</v>
      </c>
      <c r="J760">
        <f>40 * B760</f>
        <v/>
      </c>
    </row>
    <row r="761" ht="12.8" customHeight="1" s="26">
      <c r="A761" t="inlineStr">
        <is>
          <t>96155</t>
        </is>
      </c>
      <c r="B761" t="n">
        <v>0</v>
      </c>
      <c r="C761" t="inlineStr">
        <is>
          <t>Podběl lékařský list 40g ks</t>
        </is>
      </c>
      <c r="F761" t="inlineStr">
        <is>
          <t>8594056693207</t>
        </is>
      </c>
      <c r="G761" t="n">
        <v>25</v>
      </c>
      <c r="H761">
        <f>G761 * B761</f>
        <v/>
      </c>
      <c r="I761" t="n">
        <v>12</v>
      </c>
      <c r="J761">
        <f>28 * B761</f>
        <v/>
      </c>
    </row>
    <row r="762" ht="12.8" customHeight="1" s="26">
      <c r="A762" t="inlineStr">
        <is>
          <t>96156</t>
        </is>
      </c>
      <c r="B762" t="n">
        <v>0</v>
      </c>
      <c r="C762" t="inlineStr">
        <is>
          <t>Pohanka obecná nať 40g ks</t>
        </is>
      </c>
      <c r="F762" t="inlineStr">
        <is>
          <t>8594056696017</t>
        </is>
      </c>
      <c r="G762" t="n">
        <v>25</v>
      </c>
      <c r="H762">
        <f>G762 * B762</f>
        <v/>
      </c>
      <c r="I762" t="n">
        <v>12</v>
      </c>
      <c r="J762">
        <f>28 * B762</f>
        <v/>
      </c>
    </row>
    <row r="763" ht="12.8" customHeight="1" s="26">
      <c r="A763" t="inlineStr">
        <is>
          <t>96158</t>
        </is>
      </c>
      <c r="B763" t="n">
        <v>0</v>
      </c>
      <c r="C763" t="inlineStr">
        <is>
          <t>Pomeranč oplodí 50g ks</t>
        </is>
      </c>
      <c r="F763" t="inlineStr">
        <is>
          <t>8594056695232</t>
        </is>
      </c>
      <c r="G763" t="n">
        <v>26.79</v>
      </c>
      <c r="H763">
        <f>G763 * B763</f>
        <v/>
      </c>
      <c r="I763" t="n">
        <v>12</v>
      </c>
      <c r="J763">
        <f>30 * B763</f>
        <v/>
      </c>
    </row>
    <row r="764" ht="12.8" customHeight="1" s="26">
      <c r="A764" s="49" t="inlineStr">
        <is>
          <t>96159</t>
        </is>
      </c>
      <c r="B764" s="49" t="inlineStr">
        <is>
          <t>-</t>
        </is>
      </c>
      <c r="C764" s="49" t="inlineStr">
        <is>
          <t>Popenec břečťanovitý nať 50g ks</t>
        </is>
      </c>
      <c r="D764" s="49" t="n"/>
      <c r="E764" s="49" t="n"/>
      <c r="F764" s="49" t="inlineStr">
        <is>
          <t>8594056693511</t>
        </is>
      </c>
      <c r="G764" s="49" t="n">
        <v>33.04</v>
      </c>
      <c r="H764" s="49" t="n"/>
      <c r="I764" s="49" t="n">
        <v>12</v>
      </c>
      <c r="J764" s="49" t="n"/>
      <c r="K764" s="49" t="n"/>
    </row>
    <row r="765" ht="12.8" customHeight="1" s="26">
      <c r="A765" t="inlineStr">
        <is>
          <t>96160</t>
        </is>
      </c>
      <c r="B765" t="n">
        <v>0</v>
      </c>
      <c r="C765" t="inlineStr">
        <is>
          <t>Proskurník lékařský kořen 50g ks</t>
        </is>
      </c>
      <c r="F765" t="inlineStr">
        <is>
          <t>8594056694082</t>
        </is>
      </c>
      <c r="G765" t="n">
        <v>36.61</v>
      </c>
      <c r="H765">
        <f>G765 * B765</f>
        <v/>
      </c>
      <c r="I765" t="n">
        <v>12</v>
      </c>
      <c r="J765">
        <f>41 * B765</f>
        <v/>
      </c>
    </row>
    <row r="766" ht="12.8" customHeight="1" s="26">
      <c r="A766" t="inlineStr">
        <is>
          <t>96161</t>
        </is>
      </c>
      <c r="B766" t="n">
        <v>0</v>
      </c>
      <c r="C766" t="inlineStr">
        <is>
          <t>Proskurník lékařský list 40g ks</t>
        </is>
      </c>
      <c r="F766" t="inlineStr">
        <is>
          <t>8594056695249</t>
        </is>
      </c>
      <c r="G766" t="n">
        <v>25</v>
      </c>
      <c r="H766">
        <f>G766 * B766</f>
        <v/>
      </c>
      <c r="I766" t="n">
        <v>12</v>
      </c>
      <c r="J766">
        <f>28 * B766</f>
        <v/>
      </c>
    </row>
    <row r="767" ht="12.8" customHeight="1" s="26">
      <c r="A767" t="inlineStr">
        <is>
          <t>96162</t>
        </is>
      </c>
      <c r="B767" t="n">
        <v>0</v>
      </c>
      <c r="C767" t="inlineStr">
        <is>
          <t>Průtržník lysý nať 50g ks</t>
        </is>
      </c>
      <c r="F767" t="inlineStr">
        <is>
          <t>8594056694129</t>
        </is>
      </c>
      <c r="G767" t="n">
        <v>34.82</v>
      </c>
      <c r="H767">
        <f>G767 * B767</f>
        <v/>
      </c>
      <c r="I767" t="n">
        <v>12</v>
      </c>
      <c r="J767">
        <f>39 * B767</f>
        <v/>
      </c>
    </row>
    <row r="768" ht="12.8" customHeight="1" s="26">
      <c r="A768" t="inlineStr">
        <is>
          <t>96163</t>
        </is>
      </c>
      <c r="B768" t="n">
        <v>0</v>
      </c>
      <c r="C768" t="inlineStr">
        <is>
          <t>Prvosenka jarní květ 20g ks</t>
        </is>
      </c>
      <c r="F768" t="inlineStr">
        <is>
          <t>8594056694112</t>
        </is>
      </c>
      <c r="G768" t="n">
        <v>42.86</v>
      </c>
      <c r="H768">
        <f>G768 * B768</f>
        <v/>
      </c>
      <c r="I768" t="n">
        <v>12</v>
      </c>
      <c r="J768">
        <f>48 * B768</f>
        <v/>
      </c>
    </row>
    <row r="769" ht="12.8" customHeight="1" s="26">
      <c r="A769" t="inlineStr">
        <is>
          <t>96164</t>
        </is>
      </c>
      <c r="B769" t="n">
        <v>0</v>
      </c>
      <c r="C769" t="inlineStr">
        <is>
          <t>Přeslička rolní nať 40g ks</t>
        </is>
      </c>
      <c r="F769" t="inlineStr">
        <is>
          <t>8594056693894</t>
        </is>
      </c>
      <c r="G769" t="n">
        <v>26.79</v>
      </c>
      <c r="H769">
        <f>G769 * B769</f>
        <v/>
      </c>
      <c r="I769" t="n">
        <v>12</v>
      </c>
      <c r="J769">
        <f>30 * B769</f>
        <v/>
      </c>
    </row>
    <row r="770" ht="12.8" customHeight="1" s="26">
      <c r="A770" t="inlineStr">
        <is>
          <t>96165</t>
        </is>
      </c>
      <c r="B770" t="n">
        <v>0</v>
      </c>
      <c r="C770" t="inlineStr">
        <is>
          <t>Pupava bezlodyžná kořen 50g ks</t>
        </is>
      </c>
      <c r="F770" t="inlineStr">
        <is>
          <t>8594056694525</t>
        </is>
      </c>
      <c r="G770" t="n">
        <v>61.61</v>
      </c>
      <c r="H770">
        <f>G770 * B770</f>
        <v/>
      </c>
      <c r="I770" t="n">
        <v>12</v>
      </c>
      <c r="J770">
        <f>69 * B770</f>
        <v/>
      </c>
    </row>
    <row r="771" ht="12.8" customHeight="1" s="26">
      <c r="A771" t="inlineStr">
        <is>
          <t>96166</t>
        </is>
      </c>
      <c r="B771" t="n">
        <v>0</v>
      </c>
      <c r="C771" t="inlineStr">
        <is>
          <t>Puškvorec obecný oddenek 50g ks</t>
        </is>
      </c>
      <c r="F771" t="inlineStr">
        <is>
          <t>8594056693887</t>
        </is>
      </c>
      <c r="G771" t="n">
        <v>34.82</v>
      </c>
      <c r="H771">
        <f>G771 * B771</f>
        <v/>
      </c>
      <c r="I771" t="n">
        <v>12</v>
      </c>
      <c r="J771">
        <f>39 * B771</f>
        <v/>
      </c>
    </row>
    <row r="772" ht="12.8" customHeight="1" s="26">
      <c r="A772" s="49" t="inlineStr">
        <is>
          <t>96167</t>
        </is>
      </c>
      <c r="B772" s="49" t="inlineStr">
        <is>
          <t>-</t>
        </is>
      </c>
      <c r="C772" s="49" t="inlineStr">
        <is>
          <t>Pýr plazivý oddenek 50g ks</t>
        </is>
      </c>
      <c r="D772" s="49" t="n"/>
      <c r="E772" s="49" t="n"/>
      <c r="F772" s="49" t="inlineStr">
        <is>
          <t>8594056694259</t>
        </is>
      </c>
      <c r="G772" s="49" t="n">
        <v>38.39</v>
      </c>
      <c r="H772" s="49" t="n"/>
      <c r="I772" s="49" t="n">
        <v>12</v>
      </c>
      <c r="J772" s="49" t="n"/>
      <c r="K772" s="49" t="n"/>
    </row>
    <row r="773" ht="12.8" customHeight="1" s="26">
      <c r="A773" t="inlineStr">
        <is>
          <t>961671</t>
        </is>
      </c>
      <c r="B773" t="n">
        <v>0</v>
      </c>
      <c r="C773" t="inlineStr">
        <is>
          <t>Ratan (Kramerie trojmužná) kořen 50g ks</t>
        </is>
      </c>
      <c r="F773" t="inlineStr">
        <is>
          <t>8594056696765</t>
        </is>
      </c>
      <c r="G773" t="n">
        <v>48.21</v>
      </c>
      <c r="H773">
        <f>G773 * B773</f>
        <v/>
      </c>
      <c r="I773" t="n">
        <v>12</v>
      </c>
      <c r="J773">
        <f>54 * B773</f>
        <v/>
      </c>
    </row>
    <row r="774" ht="12.8" customHeight="1" s="26">
      <c r="A774" t="inlineStr">
        <is>
          <t>96169</t>
        </is>
      </c>
      <c r="B774" t="n">
        <v>0</v>
      </c>
      <c r="C774" t="inlineStr">
        <is>
          <t>Rdesno Hadí kořen 50g ks</t>
        </is>
      </c>
      <c r="F774" t="inlineStr">
        <is>
          <t>8594056693788</t>
        </is>
      </c>
      <c r="G774" t="n">
        <v>60.71</v>
      </c>
      <c r="H774">
        <f>G774 * B774</f>
        <v/>
      </c>
      <c r="I774" t="n">
        <v>12</v>
      </c>
      <c r="J774">
        <f>68 * B774</f>
        <v/>
      </c>
    </row>
    <row r="775" ht="12.8" customHeight="1" s="26">
      <c r="A775" s="49" t="inlineStr">
        <is>
          <t>96170</t>
        </is>
      </c>
      <c r="B775" s="49" t="inlineStr">
        <is>
          <t>-</t>
        </is>
      </c>
      <c r="C775" s="49" t="inlineStr">
        <is>
          <t>Rdesno truskavec nať 50g ks</t>
        </is>
      </c>
      <c r="D775" s="49" t="n"/>
      <c r="E775" s="49" t="n"/>
      <c r="F775" s="49" t="inlineStr">
        <is>
          <t>8594056693016</t>
        </is>
      </c>
      <c r="G775" s="49" t="n">
        <v>31.25</v>
      </c>
      <c r="H775" s="49" t="n"/>
      <c r="I775" s="49" t="n">
        <v>12</v>
      </c>
      <c r="J775" s="49" t="n"/>
      <c r="K775" s="49" t="n"/>
    </row>
    <row r="776" ht="12.8" customHeight="1" s="26">
      <c r="A776" t="inlineStr">
        <is>
          <t>96171</t>
        </is>
      </c>
      <c r="B776" t="n">
        <v>0</v>
      </c>
      <c r="C776" t="inlineStr">
        <is>
          <t>Rdesno vrbice (blešník) nať 50g ks</t>
        </is>
      </c>
      <c r="F776" t="inlineStr">
        <is>
          <t>8594056694372</t>
        </is>
      </c>
      <c r="G776" t="n">
        <v>35.71</v>
      </c>
      <c r="H776">
        <f>G776 * B776</f>
        <v/>
      </c>
      <c r="I776" t="n">
        <v>12</v>
      </c>
      <c r="J776">
        <f>40 * B776</f>
        <v/>
      </c>
    </row>
    <row r="777" ht="12.8" customHeight="1" s="26">
      <c r="A777" t="inlineStr">
        <is>
          <t>96172</t>
        </is>
      </c>
      <c r="B777" t="n">
        <v>0</v>
      </c>
      <c r="C777" t="inlineStr">
        <is>
          <t>Reveň dlanitá kořen 50g ks</t>
        </is>
      </c>
      <c r="F777" t="inlineStr">
        <is>
          <t>8594056694396</t>
        </is>
      </c>
      <c r="G777" t="n">
        <v>38.39</v>
      </c>
      <c r="H777">
        <f>G777 * B777</f>
        <v/>
      </c>
      <c r="I777" t="n">
        <v>12</v>
      </c>
      <c r="J777">
        <f>43 * B777</f>
        <v/>
      </c>
    </row>
    <row r="778" ht="12.8" customHeight="1" s="26">
      <c r="A778" t="inlineStr">
        <is>
          <t>96173</t>
        </is>
      </c>
      <c r="B778" t="n">
        <v>0</v>
      </c>
      <c r="C778" t="inlineStr">
        <is>
          <t>Routa vonná nať 50g ks</t>
        </is>
      </c>
      <c r="F778" t="inlineStr">
        <is>
          <t>8594056693450</t>
        </is>
      </c>
      <c r="G778" t="n">
        <v>40.18</v>
      </c>
      <c r="H778">
        <f>G778 * B778</f>
        <v/>
      </c>
      <c r="I778" t="n">
        <v>12</v>
      </c>
      <c r="J778">
        <f>45 * B778</f>
        <v/>
      </c>
    </row>
    <row r="779" ht="12.8" customHeight="1" s="26">
      <c r="A779" t="inlineStr">
        <is>
          <t>96174</t>
        </is>
      </c>
      <c r="B779" t="n">
        <v>0</v>
      </c>
      <c r="C779" t="inlineStr">
        <is>
          <t>Rozchodnice růžová kořen (rhodiola) 50g ks</t>
        </is>
      </c>
      <c r="F779" t="inlineStr">
        <is>
          <t>8594056695263</t>
        </is>
      </c>
      <c r="G779" t="n">
        <v>141.96</v>
      </c>
      <c r="H779">
        <f>G779 * B779</f>
        <v/>
      </c>
      <c r="I779" t="n">
        <v>12</v>
      </c>
      <c r="J779">
        <f>159 * B779</f>
        <v/>
      </c>
    </row>
    <row r="780" ht="12.8" customHeight="1" s="26">
      <c r="A780" t="inlineStr">
        <is>
          <t>96175</t>
        </is>
      </c>
      <c r="B780" t="n">
        <v>0</v>
      </c>
      <c r="C780" t="inlineStr">
        <is>
          <t>Rozmarýn lékařský list 50g ks</t>
        </is>
      </c>
      <c r="F780" t="inlineStr">
        <is>
          <t>8594056694334</t>
        </is>
      </c>
      <c r="G780" t="n">
        <v>29.46</v>
      </c>
      <c r="H780">
        <f>G780 * B780</f>
        <v/>
      </c>
      <c r="I780" t="n">
        <v>12</v>
      </c>
      <c r="J780">
        <f>33 * B780</f>
        <v/>
      </c>
    </row>
    <row r="781" ht="12.8" customHeight="1" s="26">
      <c r="A781" t="inlineStr">
        <is>
          <t>96176</t>
        </is>
      </c>
      <c r="B781" t="n">
        <v>0</v>
      </c>
      <c r="C781" t="inlineStr">
        <is>
          <t>Rozrazil lékařský nať 40g ks</t>
        </is>
      </c>
      <c r="F781" t="inlineStr">
        <is>
          <t>8594056690381</t>
        </is>
      </c>
      <c r="G781" t="n">
        <v>35.71</v>
      </c>
      <c r="H781">
        <f>G781 * B781</f>
        <v/>
      </c>
      <c r="I781" t="n">
        <v>12</v>
      </c>
      <c r="J781">
        <f>40 * B781</f>
        <v/>
      </c>
    </row>
    <row r="782" ht="12.8" customHeight="1" s="26">
      <c r="A782" t="inlineStr">
        <is>
          <t>96178</t>
        </is>
      </c>
      <c r="B782" t="n">
        <v>0</v>
      </c>
      <c r="C782" t="inlineStr">
        <is>
          <t>Rybíz černý list 40g ks</t>
        </is>
      </c>
      <c r="F782" t="inlineStr">
        <is>
          <t>8594056693917</t>
        </is>
      </c>
      <c r="G782" t="n">
        <v>35.71</v>
      </c>
      <c r="H782">
        <f>G782 * B782</f>
        <v/>
      </c>
      <c r="I782" t="n">
        <v>12</v>
      </c>
      <c r="J782">
        <f>40 * B782</f>
        <v/>
      </c>
    </row>
    <row r="783" ht="12.8" customHeight="1" s="26">
      <c r="A783" t="inlineStr">
        <is>
          <t>961781</t>
        </is>
      </c>
      <c r="B783" t="n">
        <v>0</v>
      </c>
      <c r="C783" t="inlineStr">
        <is>
          <t>Rybíz černý plod 50g ks</t>
        </is>
      </c>
      <c r="F783" t="inlineStr">
        <is>
          <t>8594056690367</t>
        </is>
      </c>
      <c r="G783" t="n">
        <v>61.61</v>
      </c>
      <c r="H783">
        <f>G783 * B783</f>
        <v/>
      </c>
      <c r="I783" t="n">
        <v>12</v>
      </c>
      <c r="J783">
        <f>69 * B783</f>
        <v/>
      </c>
    </row>
    <row r="784" ht="12.8" customHeight="1" s="26">
      <c r="A784" t="inlineStr">
        <is>
          <t>96179</t>
        </is>
      </c>
      <c r="B784" t="n">
        <v>0</v>
      </c>
      <c r="C784" t="inlineStr">
        <is>
          <t>Řebříček obecný květ 40g ks</t>
        </is>
      </c>
      <c r="F784" t="inlineStr">
        <is>
          <t>8594056693047</t>
        </is>
      </c>
      <c r="G784" t="n">
        <v>27.68</v>
      </c>
      <c r="H784">
        <f>G784 * B784</f>
        <v/>
      </c>
      <c r="I784" t="n">
        <v>12</v>
      </c>
      <c r="J784">
        <f>31 * B784</f>
        <v/>
      </c>
    </row>
    <row r="785">
      <c r="A785" t="inlineStr">
        <is>
          <t>961791</t>
        </is>
      </c>
      <c r="B785" t="n">
        <v>0</v>
      </c>
      <c r="C785" t="inlineStr">
        <is>
          <t>Řebříček obecný nať 40g ks</t>
        </is>
      </c>
      <c r="F785" t="inlineStr">
        <is>
          <t>8594056696772</t>
        </is>
      </c>
      <c r="G785" t="n">
        <v>25.89</v>
      </c>
      <c r="H785">
        <f>G785 * B785</f>
        <v/>
      </c>
      <c r="I785" t="n">
        <v>12</v>
      </c>
      <c r="J785">
        <f>29 * B785</f>
        <v/>
      </c>
    </row>
    <row r="786">
      <c r="A786" t="inlineStr">
        <is>
          <t>96180</t>
        </is>
      </c>
      <c r="B786" t="n">
        <v>0</v>
      </c>
      <c r="C786" t="inlineStr">
        <is>
          <t>Řecké seno (Pískavice) semeno celé 100g ks</t>
        </is>
      </c>
      <c r="F786" t="inlineStr">
        <is>
          <t>8594056693269</t>
        </is>
      </c>
      <c r="G786" t="n">
        <v>38.39</v>
      </c>
      <c r="H786">
        <f>G786 * B786</f>
        <v/>
      </c>
      <c r="I786" t="n">
        <v>12</v>
      </c>
      <c r="J786">
        <f>43 * B786</f>
        <v/>
      </c>
    </row>
    <row r="787">
      <c r="A787" t="inlineStr">
        <is>
          <t>961801</t>
        </is>
      </c>
      <c r="B787" t="n">
        <v>0</v>
      </c>
      <c r="C787" t="inlineStr">
        <is>
          <t>Řecké seno (Pískavice) semeno mleté 100g ks</t>
        </is>
      </c>
      <c r="F787" t="inlineStr">
        <is>
          <t>8594056696543</t>
        </is>
      </c>
      <c r="G787" t="n">
        <v>38.39</v>
      </c>
      <c r="H787">
        <f>G787 * B787</f>
        <v/>
      </c>
      <c r="I787" t="n">
        <v>12</v>
      </c>
      <c r="J787">
        <f>43 * B787</f>
        <v/>
      </c>
    </row>
    <row r="788">
      <c r="A788" t="inlineStr">
        <is>
          <t>96181</t>
        </is>
      </c>
      <c r="B788" t="n">
        <v>0</v>
      </c>
      <c r="C788" t="inlineStr">
        <is>
          <t>Řepík lékařský nať 50g ks</t>
        </is>
      </c>
      <c r="F788" t="inlineStr">
        <is>
          <t>8594056693139</t>
        </is>
      </c>
      <c r="G788" t="n">
        <v>32.14</v>
      </c>
      <c r="H788">
        <f>G788 * B788</f>
        <v/>
      </c>
      <c r="I788" t="n">
        <v>12</v>
      </c>
      <c r="J788">
        <f>36 * B788</f>
        <v/>
      </c>
    </row>
    <row r="789">
      <c r="A789" t="inlineStr">
        <is>
          <t>96184</t>
        </is>
      </c>
      <c r="B789" t="n">
        <v>0</v>
      </c>
      <c r="C789" t="inlineStr">
        <is>
          <t>Sarsaparilla (Přestup léčivý) kořen 50g ks</t>
        </is>
      </c>
      <c r="F789" t="inlineStr">
        <is>
          <t>8594056694440</t>
        </is>
      </c>
      <c r="G789" t="n">
        <v>52.68</v>
      </c>
      <c r="H789">
        <f>G789 * B789</f>
        <v/>
      </c>
      <c r="I789" t="n">
        <v>12</v>
      </c>
      <c r="J789">
        <f>59 * B789</f>
        <v/>
      </c>
    </row>
    <row r="790">
      <c r="A790" t="inlineStr">
        <is>
          <t>96185</t>
        </is>
      </c>
      <c r="B790" t="n">
        <v>0</v>
      </c>
      <c r="C790" t="inlineStr">
        <is>
          <t>Saturejka zahradní nať 40g ks</t>
        </is>
      </c>
      <c r="F790" t="inlineStr">
        <is>
          <t>8594056693566</t>
        </is>
      </c>
      <c r="G790" t="n">
        <v>26.79</v>
      </c>
      <c r="H790">
        <f>G790 * B790</f>
        <v/>
      </c>
      <c r="I790" t="n">
        <v>12</v>
      </c>
      <c r="J790">
        <f>30 * B790</f>
        <v/>
      </c>
    </row>
    <row r="791">
      <c r="A791" t="inlineStr">
        <is>
          <t>96186</t>
        </is>
      </c>
      <c r="B791" t="n">
        <v>0</v>
      </c>
      <c r="C791" t="inlineStr">
        <is>
          <t>Sedmikráska chudobka květ 30g ks</t>
        </is>
      </c>
      <c r="F791" t="inlineStr">
        <is>
          <t>8594056694235</t>
        </is>
      </c>
      <c r="G791" t="n">
        <v>70.54000000000001</v>
      </c>
      <c r="H791">
        <f>G791 * B791</f>
        <v/>
      </c>
      <c r="I791" t="n">
        <v>12</v>
      </c>
      <c r="J791">
        <f>79 * B791</f>
        <v/>
      </c>
    </row>
    <row r="792">
      <c r="A792" t="inlineStr">
        <is>
          <t>96187</t>
        </is>
      </c>
      <c r="B792" t="n">
        <v>0</v>
      </c>
      <c r="C792" t="inlineStr">
        <is>
          <t>Senna (Kassie pravá) list 50g ks</t>
        </is>
      </c>
      <c r="F792" t="inlineStr">
        <is>
          <t>8594056694549</t>
        </is>
      </c>
      <c r="G792" t="n">
        <v>29.46</v>
      </c>
      <c r="H792">
        <f>G792 * B792</f>
        <v/>
      </c>
      <c r="I792" t="n">
        <v>12</v>
      </c>
      <c r="J792">
        <f>33 * B792</f>
        <v/>
      </c>
    </row>
    <row r="793">
      <c r="A793" t="inlineStr">
        <is>
          <t>96189</t>
        </is>
      </c>
      <c r="B793" t="n">
        <v>0</v>
      </c>
      <c r="C793" t="inlineStr">
        <is>
          <t>Schizandra (Klanopraška) plod 50g ks</t>
        </is>
      </c>
      <c r="F793" t="inlineStr">
        <is>
          <t>8594056693870</t>
        </is>
      </c>
      <c r="G793" t="n">
        <v>75</v>
      </c>
      <c r="H793">
        <f>G793 * B793</f>
        <v/>
      </c>
      <c r="I793" t="n">
        <v>12</v>
      </c>
      <c r="J793">
        <f>84 * B793</f>
        <v/>
      </c>
    </row>
    <row r="794">
      <c r="A794" s="49" t="inlineStr">
        <is>
          <t>96190</t>
        </is>
      </c>
      <c r="B794" s="49" t="inlineStr">
        <is>
          <t>-</t>
        </is>
      </c>
      <c r="C794" s="49" t="inlineStr">
        <is>
          <t>Skořice kůra (Skořicovník cejlonský) mletá 100g ks</t>
        </is>
      </c>
      <c r="D794" s="49" t="n"/>
      <c r="E794" s="49" t="n"/>
      <c r="F794" s="49" t="inlineStr">
        <is>
          <t>8594056695300</t>
        </is>
      </c>
      <c r="G794" s="49" t="n">
        <v>68.75</v>
      </c>
      <c r="H794" s="49" t="n"/>
      <c r="I794" s="49" t="n">
        <v>12</v>
      </c>
      <c r="J794" s="49" t="n"/>
      <c r="K794" s="49" t="n"/>
    </row>
    <row r="795">
      <c r="A795" s="49" t="inlineStr">
        <is>
          <t>96192</t>
        </is>
      </c>
      <c r="B795" s="49" t="inlineStr">
        <is>
          <t>-</t>
        </is>
      </c>
      <c r="C795" s="49" t="inlineStr">
        <is>
          <t>Sléz maurský květ 20g ks</t>
        </is>
      </c>
      <c r="D795" s="49" t="n"/>
      <c r="E795" s="49" t="n"/>
      <c r="F795" s="49" t="inlineStr">
        <is>
          <t>8594056694174</t>
        </is>
      </c>
      <c r="G795" s="49" t="n">
        <v>55.36</v>
      </c>
      <c r="H795" s="49" t="n"/>
      <c r="I795" s="49" t="n">
        <v>12</v>
      </c>
      <c r="J795" s="49" t="n"/>
      <c r="K795" s="49" t="n"/>
    </row>
    <row r="796">
      <c r="A796" t="inlineStr">
        <is>
          <t>96193</t>
        </is>
      </c>
      <c r="B796" t="n">
        <v>0</v>
      </c>
      <c r="C796" t="inlineStr">
        <is>
          <t>Sléz maurský list 40g ks</t>
        </is>
      </c>
      <c r="F796" t="inlineStr">
        <is>
          <t>8594056694167</t>
        </is>
      </c>
      <c r="G796" t="n">
        <v>35.71</v>
      </c>
      <c r="H796">
        <f>G796 * B796</f>
        <v/>
      </c>
      <c r="I796" t="n">
        <v>12</v>
      </c>
      <c r="J796">
        <f>40 * B796</f>
        <v/>
      </c>
    </row>
    <row r="797">
      <c r="A797" t="inlineStr">
        <is>
          <t>96195</t>
        </is>
      </c>
      <c r="B797" t="n">
        <v>0</v>
      </c>
      <c r="C797" t="inlineStr">
        <is>
          <t>Slunečnice roční květ 40g ks</t>
        </is>
      </c>
      <c r="F797" t="inlineStr">
        <is>
          <t>8594056696468</t>
        </is>
      </c>
      <c r="G797" t="n">
        <v>45.54</v>
      </c>
      <c r="H797">
        <f>G797 * B797</f>
        <v/>
      </c>
      <c r="I797" t="n">
        <v>12</v>
      </c>
      <c r="J797">
        <f>51 * B797</f>
        <v/>
      </c>
    </row>
    <row r="798">
      <c r="A798" t="inlineStr">
        <is>
          <t>96196</t>
        </is>
      </c>
      <c r="B798" t="n">
        <v>0</v>
      </c>
      <c r="C798" t="inlineStr">
        <is>
          <t>Smil písečný květ 20g ks</t>
        </is>
      </c>
      <c r="F798" t="inlineStr">
        <is>
          <t>8594056693252</t>
        </is>
      </c>
      <c r="G798" t="n">
        <v>22.32</v>
      </c>
      <c r="H798">
        <f>G798 * B798</f>
        <v/>
      </c>
      <c r="I798" t="n">
        <v>12</v>
      </c>
      <c r="J798">
        <f>25 * B798</f>
        <v/>
      </c>
    </row>
    <row r="799">
      <c r="A799" t="inlineStr">
        <is>
          <t>96197</t>
        </is>
      </c>
      <c r="B799" t="n">
        <v>0</v>
      </c>
      <c r="C799" t="inlineStr">
        <is>
          <t>Sporýš lékařský nať 50g ks</t>
        </is>
      </c>
      <c r="F799" t="inlineStr">
        <is>
          <t>8594056693191</t>
        </is>
      </c>
      <c r="G799" t="n">
        <v>33.93</v>
      </c>
      <c r="H799">
        <f>G799 * B799</f>
        <v/>
      </c>
      <c r="I799" t="n">
        <v>12</v>
      </c>
      <c r="J799">
        <f>38 * B799</f>
        <v/>
      </c>
    </row>
    <row r="800">
      <c r="A800" t="inlineStr">
        <is>
          <t>96198</t>
        </is>
      </c>
      <c r="B800" t="n">
        <v>0</v>
      </c>
      <c r="C800" t="inlineStr">
        <is>
          <t>Srdečník obecný (Buřina) nať 40g ks</t>
        </is>
      </c>
      <c r="F800" t="inlineStr">
        <is>
          <t>8594056694266</t>
        </is>
      </c>
      <c r="G800" t="n">
        <v>26.79</v>
      </c>
      <c r="H800">
        <f>G800 * B800</f>
        <v/>
      </c>
      <c r="I800" t="n">
        <v>12</v>
      </c>
      <c r="J800">
        <f>30 * B800</f>
        <v/>
      </c>
    </row>
    <row r="801">
      <c r="A801" t="inlineStr">
        <is>
          <t>96199</t>
        </is>
      </c>
      <c r="B801" t="n">
        <v>0</v>
      </c>
      <c r="C801" t="inlineStr">
        <is>
          <t>Světlík lékařský nať 40g ks</t>
        </is>
      </c>
      <c r="F801" t="inlineStr">
        <is>
          <t>8594056693962</t>
        </is>
      </c>
      <c r="G801" t="n">
        <v>33.04</v>
      </c>
      <c r="H801">
        <f>G801 * B801</f>
        <v/>
      </c>
      <c r="I801" t="n">
        <v>12</v>
      </c>
      <c r="J801">
        <f>37 * B801</f>
        <v/>
      </c>
    </row>
    <row r="802">
      <c r="A802" s="49" t="inlineStr">
        <is>
          <t>96200</t>
        </is>
      </c>
      <c r="B802" s="49" t="inlineStr">
        <is>
          <t>-</t>
        </is>
      </c>
      <c r="C802" s="49" t="inlineStr">
        <is>
          <t>Svízel syřišťový nať 50g ks</t>
        </is>
      </c>
      <c r="D802" s="49" t="n"/>
      <c r="E802" s="49" t="n"/>
      <c r="F802" s="49" t="inlineStr">
        <is>
          <t>8594056693122</t>
        </is>
      </c>
      <c r="G802" s="49" t="n">
        <v>34.82</v>
      </c>
      <c r="H802" s="49" t="n"/>
      <c r="I802" s="49" t="n">
        <v>12</v>
      </c>
      <c r="J802" s="49" t="n"/>
      <c r="K802" s="49" t="n"/>
    </row>
    <row r="803">
      <c r="A803" t="inlineStr">
        <is>
          <t>96201</t>
        </is>
      </c>
      <c r="B803" t="n">
        <v>0</v>
      </c>
      <c r="C803" t="inlineStr">
        <is>
          <t>Šalvěj lékařská nať 40g ks</t>
        </is>
      </c>
      <c r="F803" t="inlineStr">
        <is>
          <t>8594056693054</t>
        </is>
      </c>
      <c r="G803" t="n">
        <v>26.79</v>
      </c>
      <c r="H803">
        <f>G803 * B803</f>
        <v/>
      </c>
      <c r="I803" t="n">
        <v>12</v>
      </c>
      <c r="J803">
        <f>30 * B803</f>
        <v/>
      </c>
    </row>
    <row r="804">
      <c r="A804" t="inlineStr">
        <is>
          <t>96203</t>
        </is>
      </c>
      <c r="B804" t="n">
        <v>0</v>
      </c>
      <c r="C804" t="inlineStr">
        <is>
          <t>Šípek (Růže šípková) plod celý 100g ks</t>
        </is>
      </c>
      <c r="F804" t="inlineStr">
        <is>
          <t>8594056694297</t>
        </is>
      </c>
      <c r="G804" t="n">
        <v>60.71</v>
      </c>
      <c r="H804">
        <f>G804 * B804</f>
        <v/>
      </c>
      <c r="I804" t="n">
        <v>12</v>
      </c>
      <c r="J804">
        <f>68 * B804</f>
        <v/>
      </c>
    </row>
    <row r="805">
      <c r="A805" t="inlineStr">
        <is>
          <t>96204</t>
        </is>
      </c>
      <c r="B805" t="n">
        <v>0</v>
      </c>
      <c r="C805" t="inlineStr">
        <is>
          <t>Šípek (Růže šípková) plod čistá semena 200g ks</t>
        </is>
      </c>
      <c r="F805" t="inlineStr">
        <is>
          <t>8594056695355</t>
        </is>
      </c>
      <c r="G805" t="n">
        <v>32.14</v>
      </c>
      <c r="H805">
        <f>G805 * B805</f>
        <v/>
      </c>
      <c r="I805" t="n">
        <v>12</v>
      </c>
      <c r="J805">
        <f>36 * B805</f>
        <v/>
      </c>
    </row>
    <row r="806">
      <c r="A806" t="inlineStr">
        <is>
          <t>96205</t>
        </is>
      </c>
      <c r="B806" t="n">
        <v>0</v>
      </c>
      <c r="C806" t="inlineStr">
        <is>
          <t>Šípek (Růže šípková) plod drcený 100g ks</t>
        </is>
      </c>
      <c r="F806" t="inlineStr">
        <is>
          <t>8594056693603</t>
        </is>
      </c>
      <c r="G806" t="n">
        <v>54.46</v>
      </c>
      <c r="H806">
        <f>G806 * B806</f>
        <v/>
      </c>
      <c r="I806" t="n">
        <v>12</v>
      </c>
      <c r="J806">
        <f>61 * B806</f>
        <v/>
      </c>
    </row>
    <row r="807">
      <c r="A807" s="49" t="inlineStr">
        <is>
          <t>962051</t>
        </is>
      </c>
      <c r="B807" s="49" t="inlineStr">
        <is>
          <t>-</t>
        </is>
      </c>
      <c r="C807" s="49" t="inlineStr">
        <is>
          <t>Šípek (Růže šípková) plod oplodí čisté bez semen 100g ks</t>
        </is>
      </c>
      <c r="D807" s="49" t="n"/>
      <c r="E807" s="49" t="n"/>
      <c r="F807" s="49" t="inlineStr">
        <is>
          <t>8594056695775</t>
        </is>
      </c>
      <c r="G807" s="49" t="n">
        <v>64.29000000000001</v>
      </c>
      <c r="H807" s="49" t="n"/>
      <c r="I807" s="49" t="n">
        <v>12</v>
      </c>
      <c r="J807" s="49" t="n"/>
      <c r="K807" s="49" t="n"/>
    </row>
    <row r="808">
      <c r="A808" t="inlineStr">
        <is>
          <t>96206</t>
        </is>
      </c>
      <c r="B808" t="n">
        <v>0</v>
      </c>
      <c r="C808" t="inlineStr">
        <is>
          <t>Šišák bajkalský nať 50g ks</t>
        </is>
      </c>
      <c r="F808" t="inlineStr">
        <is>
          <t>8594056695362</t>
        </is>
      </c>
      <c r="G808" t="n">
        <v>78.56999999999999</v>
      </c>
      <c r="H808">
        <f>G808 * B808</f>
        <v/>
      </c>
      <c r="I808" t="n">
        <v>12</v>
      </c>
      <c r="J808">
        <f>88 * B808</f>
        <v/>
      </c>
    </row>
    <row r="809">
      <c r="A809" t="inlineStr">
        <is>
          <t>96207</t>
        </is>
      </c>
      <c r="B809" t="n">
        <v>0</v>
      </c>
      <c r="C809" t="inlineStr">
        <is>
          <t>Topolovka růžová květ 20g ks</t>
        </is>
      </c>
      <c r="F809" t="inlineStr">
        <is>
          <t>8594056694501</t>
        </is>
      </c>
      <c r="G809" t="n">
        <v>32.14</v>
      </c>
      <c r="H809">
        <f>G809 * B809</f>
        <v/>
      </c>
      <c r="I809" t="n">
        <v>12</v>
      </c>
      <c r="J809">
        <f>36 * B809</f>
        <v/>
      </c>
    </row>
    <row r="810">
      <c r="A810" t="inlineStr">
        <is>
          <t>962071</t>
        </is>
      </c>
      <c r="B810" t="n">
        <v>0</v>
      </c>
      <c r="C810" t="inlineStr">
        <is>
          <t>Topolovka růžová květ řez. 20g ks</t>
        </is>
      </c>
      <c r="F810" t="inlineStr">
        <is>
          <t>8594056696550</t>
        </is>
      </c>
      <c r="G810" t="n">
        <v>32.14</v>
      </c>
      <c r="H810">
        <f>G810 * B810</f>
        <v/>
      </c>
      <c r="I810" t="n">
        <v>12</v>
      </c>
      <c r="J810">
        <f>36 * B810</f>
        <v/>
      </c>
    </row>
    <row r="811">
      <c r="A811" t="inlineStr">
        <is>
          <t>96210</t>
        </is>
      </c>
      <c r="B811" t="n">
        <v>0</v>
      </c>
      <c r="C811" t="inlineStr">
        <is>
          <t>Trnka obecná květ 40g ks</t>
        </is>
      </c>
      <c r="F811" t="inlineStr">
        <is>
          <t>8594056692231</t>
        </is>
      </c>
      <c r="G811" t="n">
        <v>45.54</v>
      </c>
      <c r="H811">
        <f>G811 * B811</f>
        <v/>
      </c>
      <c r="I811" t="n">
        <v>12</v>
      </c>
      <c r="J811">
        <f>51 * B811</f>
        <v/>
      </c>
    </row>
    <row r="812">
      <c r="A812" t="inlineStr">
        <is>
          <t>96211</t>
        </is>
      </c>
      <c r="B812" t="n">
        <v>0</v>
      </c>
      <c r="C812" t="inlineStr">
        <is>
          <t>Třezalka tečkovaná nať 50g ks</t>
        </is>
      </c>
      <c r="F812" t="inlineStr">
        <is>
          <t>8594056693344</t>
        </is>
      </c>
      <c r="G812" t="n">
        <v>32.14</v>
      </c>
      <c r="H812">
        <f>G812 * B812</f>
        <v/>
      </c>
      <c r="I812" t="n">
        <v>12</v>
      </c>
      <c r="J812">
        <f>36 * B812</f>
        <v/>
      </c>
    </row>
    <row r="813">
      <c r="A813" t="inlineStr">
        <is>
          <t>962111</t>
        </is>
      </c>
      <c r="B813" t="n">
        <v>0</v>
      </c>
      <c r="C813" t="inlineStr">
        <is>
          <t>Turan kanadský nať 50g ks</t>
        </is>
      </c>
      <c r="F813" t="inlineStr">
        <is>
          <t>8594056696659</t>
        </is>
      </c>
      <c r="G813" t="n">
        <v>34.82</v>
      </c>
      <c r="H813">
        <f>G813 * B813</f>
        <v/>
      </c>
      <c r="I813" t="n">
        <v>12</v>
      </c>
      <c r="J813">
        <f>39 * B813</f>
        <v/>
      </c>
    </row>
    <row r="814">
      <c r="A814" t="inlineStr">
        <is>
          <t>96212</t>
        </is>
      </c>
      <c r="B814" t="n">
        <v>0</v>
      </c>
      <c r="C814" t="inlineStr">
        <is>
          <t>Tužebník jilmový nať 50g ks</t>
        </is>
      </c>
      <c r="F814" t="inlineStr">
        <is>
          <t>8594056694143</t>
        </is>
      </c>
      <c r="G814" t="n">
        <v>29.46</v>
      </c>
      <c r="H814">
        <f>G814 * B814</f>
        <v/>
      </c>
      <c r="I814" t="n">
        <v>12</v>
      </c>
      <c r="J814">
        <f>33 * B814</f>
        <v/>
      </c>
    </row>
    <row r="815">
      <c r="A815" t="inlineStr">
        <is>
          <t>96213</t>
        </is>
      </c>
      <c r="B815" t="n">
        <v>0</v>
      </c>
      <c r="C815" t="inlineStr">
        <is>
          <t>Tymián obecný nať 40g ks</t>
        </is>
      </c>
      <c r="F815" t="inlineStr">
        <is>
          <t>8594056693245</t>
        </is>
      </c>
      <c r="G815" t="n">
        <v>26.79</v>
      </c>
      <c r="H815">
        <f>G815 * B815</f>
        <v/>
      </c>
      <c r="I815" t="n">
        <v>12</v>
      </c>
      <c r="J815">
        <f>30 * B815</f>
        <v/>
      </c>
    </row>
    <row r="816">
      <c r="A816" t="inlineStr">
        <is>
          <t>96214</t>
        </is>
      </c>
      <c r="B816" t="n">
        <v>0</v>
      </c>
      <c r="C816" t="inlineStr">
        <is>
          <t>Vachta trojlistá list 30g ks</t>
        </is>
      </c>
      <c r="F816" t="inlineStr">
        <is>
          <t>8594056694426</t>
        </is>
      </c>
      <c r="G816" t="n">
        <v>37.5</v>
      </c>
      <c r="H816">
        <f>G816 * B816</f>
        <v/>
      </c>
      <c r="I816" t="n">
        <v>12</v>
      </c>
      <c r="J816">
        <f>42 * B816</f>
        <v/>
      </c>
    </row>
    <row r="817">
      <c r="A817" t="inlineStr">
        <is>
          <t>96217</t>
        </is>
      </c>
      <c r="B817" t="n">
        <v>0</v>
      </c>
      <c r="C817" t="inlineStr">
        <is>
          <t>Violka trojbarevná (Maceška) nať 40g ks</t>
        </is>
      </c>
      <c r="F817" t="inlineStr">
        <is>
          <t>8594056694303</t>
        </is>
      </c>
      <c r="G817" t="n">
        <v>26.79</v>
      </c>
      <c r="H817">
        <f>G817 * B817</f>
        <v/>
      </c>
      <c r="I817" t="n">
        <v>12</v>
      </c>
      <c r="J817">
        <f>30 * B817</f>
        <v/>
      </c>
    </row>
    <row r="818">
      <c r="A818" t="inlineStr">
        <is>
          <t>96218</t>
        </is>
      </c>
      <c r="B818" t="n">
        <v>0</v>
      </c>
      <c r="C818" t="inlineStr">
        <is>
          <t>Vlaštovičník větší nať 40g ks</t>
        </is>
      </c>
      <c r="F818" t="inlineStr">
        <is>
          <t>8594056693337</t>
        </is>
      </c>
      <c r="G818" t="n">
        <v>34.82</v>
      </c>
      <c r="H818">
        <f>G818 * B818</f>
        <v/>
      </c>
      <c r="I818" t="n">
        <v>12</v>
      </c>
      <c r="J818">
        <f>39 * B818</f>
        <v/>
      </c>
    </row>
    <row r="819">
      <c r="A819" s="49" t="inlineStr">
        <is>
          <t>96219</t>
        </is>
      </c>
      <c r="B819" s="49" t="inlineStr">
        <is>
          <t>-</t>
        </is>
      </c>
      <c r="C819" s="49" t="inlineStr">
        <is>
          <t>Vlčí mák červený květ 15g ks</t>
        </is>
      </c>
      <c r="D819" s="49" t="n"/>
      <c r="E819" s="49" t="n"/>
      <c r="F819" s="49" t="inlineStr">
        <is>
          <t>8594056694457</t>
        </is>
      </c>
      <c r="G819" s="49" t="n">
        <v>46.43</v>
      </c>
      <c r="H819" s="49" t="n"/>
      <c r="I819" s="49" t="n">
        <v>12</v>
      </c>
      <c r="J819" s="49" t="n"/>
      <c r="K819" s="49" t="n"/>
    </row>
    <row r="820">
      <c r="A820" t="inlineStr">
        <is>
          <t>96220</t>
        </is>
      </c>
      <c r="B820" t="n">
        <v>0</v>
      </c>
      <c r="C820" t="inlineStr">
        <is>
          <t>Vrba bílá kůra 50g ks</t>
        </is>
      </c>
      <c r="F820" t="inlineStr">
        <is>
          <t>8594056694150</t>
        </is>
      </c>
      <c r="G820" t="n">
        <v>34.82</v>
      </c>
      <c r="H820">
        <f>G820 * B820</f>
        <v/>
      </c>
      <c r="I820" t="n">
        <v>12</v>
      </c>
      <c r="J820">
        <f>39 * B820</f>
        <v/>
      </c>
    </row>
    <row r="821">
      <c r="A821" t="inlineStr">
        <is>
          <t>96221</t>
        </is>
      </c>
      <c r="B821" t="n">
        <v>0</v>
      </c>
      <c r="C821" t="inlineStr">
        <is>
          <t>Vrbovka malokvětá nať 40g ks</t>
        </is>
      </c>
      <c r="F821" t="inlineStr">
        <is>
          <t>8594056693634</t>
        </is>
      </c>
      <c r="G821" t="n">
        <v>29.46</v>
      </c>
      <c r="H821">
        <f>G821 * B821</f>
        <v/>
      </c>
      <c r="I821" t="n">
        <v>12</v>
      </c>
      <c r="J821">
        <f>33 * B821</f>
        <v/>
      </c>
    </row>
    <row r="822">
      <c r="A822" t="inlineStr">
        <is>
          <t>96222</t>
        </is>
      </c>
      <c r="B822" t="n">
        <v>0</v>
      </c>
      <c r="C822" t="inlineStr">
        <is>
          <t>Vřes obecný květ 40g ks</t>
        </is>
      </c>
      <c r="F822" t="inlineStr">
        <is>
          <t>8594056693627</t>
        </is>
      </c>
      <c r="G822" t="n">
        <v>33.04</v>
      </c>
      <c r="H822">
        <f>G822 * B822</f>
        <v/>
      </c>
      <c r="I822" t="n">
        <v>12</v>
      </c>
      <c r="J822">
        <f>37 * B822</f>
        <v/>
      </c>
    </row>
    <row r="823">
      <c r="A823" t="inlineStr">
        <is>
          <t>962221</t>
        </is>
      </c>
      <c r="B823" t="n">
        <v>0</v>
      </c>
      <c r="C823" t="inlineStr">
        <is>
          <t>Vřes obecný nať s květem 50g ks</t>
        </is>
      </c>
      <c r="F823" t="inlineStr">
        <is>
          <t>8594056690350</t>
        </is>
      </c>
      <c r="G823" t="n">
        <v>32.14</v>
      </c>
      <c r="H823">
        <f>G823 * B823</f>
        <v/>
      </c>
      <c r="I823" t="n">
        <v>12</v>
      </c>
      <c r="J823">
        <f>36 * B823</f>
        <v/>
      </c>
    </row>
    <row r="824">
      <c r="A824" t="inlineStr">
        <is>
          <t>96223</t>
        </is>
      </c>
      <c r="B824" t="n">
        <v>0</v>
      </c>
      <c r="C824" t="inlineStr">
        <is>
          <t>Yzop lékařský nať 50g ks</t>
        </is>
      </c>
      <c r="F824" t="inlineStr">
        <is>
          <t>8594056694358</t>
        </is>
      </c>
      <c r="G824" t="n">
        <v>31.25</v>
      </c>
      <c r="H824">
        <f>G824 * B824</f>
        <v/>
      </c>
      <c r="I824" t="n">
        <v>12</v>
      </c>
      <c r="J824">
        <f>35 * B824</f>
        <v/>
      </c>
    </row>
    <row r="825">
      <c r="A825" t="inlineStr">
        <is>
          <t>96224</t>
        </is>
      </c>
      <c r="B825" t="n">
        <v>0</v>
      </c>
      <c r="C825" t="inlineStr">
        <is>
          <t>Zázvor pravý oddenek řez. 50g ks</t>
        </is>
      </c>
      <c r="F825" t="inlineStr">
        <is>
          <t>8594056693467</t>
        </is>
      </c>
      <c r="G825" t="n">
        <v>38.39</v>
      </c>
      <c r="H825">
        <f>G825 * B825</f>
        <v/>
      </c>
      <c r="I825" t="n">
        <v>12</v>
      </c>
      <c r="J825">
        <f>43 * B825</f>
        <v/>
      </c>
    </row>
    <row r="826">
      <c r="A826" t="inlineStr">
        <is>
          <t>96225</t>
        </is>
      </c>
      <c r="B826" t="n">
        <v>0</v>
      </c>
      <c r="C826" t="inlineStr">
        <is>
          <t>Zemědým lékařský nať 50g ks</t>
        </is>
      </c>
      <c r="F826" t="inlineStr">
        <is>
          <t>8594056693276</t>
        </is>
      </c>
      <c r="G826" t="n">
        <v>37.5</v>
      </c>
      <c r="H826">
        <f>G826 * B826</f>
        <v/>
      </c>
      <c r="I826" t="n">
        <v>12</v>
      </c>
      <c r="J826">
        <f>42 * B826</f>
        <v/>
      </c>
    </row>
    <row r="827">
      <c r="A827" t="inlineStr">
        <is>
          <t>96226</t>
        </is>
      </c>
      <c r="B827" t="n">
        <v>0</v>
      </c>
      <c r="C827" t="inlineStr">
        <is>
          <t>Zeměžluč lékařská nať 50g ks</t>
        </is>
      </c>
      <c r="F827" t="inlineStr">
        <is>
          <t>8594056694402</t>
        </is>
      </c>
      <c r="G827" t="n">
        <v>30.36</v>
      </c>
      <c r="H827">
        <f>G827 * B827</f>
        <v/>
      </c>
      <c r="I827" t="n">
        <v>12</v>
      </c>
      <c r="J827">
        <f>34 * B827</f>
        <v/>
      </c>
    </row>
    <row r="828">
      <c r="A828" t="inlineStr">
        <is>
          <t>96227</t>
        </is>
      </c>
      <c r="B828" t="n">
        <v>0</v>
      </c>
      <c r="C828" t="inlineStr">
        <is>
          <t>Zlatobýl celík nať 50g ks</t>
        </is>
      </c>
      <c r="F828" t="inlineStr">
        <is>
          <t>8594056693443</t>
        </is>
      </c>
      <c r="G828" t="n">
        <v>33.04</v>
      </c>
      <c r="H828">
        <f>G828 * B828</f>
        <v/>
      </c>
      <c r="I828" t="n">
        <v>12</v>
      </c>
      <c r="J828">
        <f>37 * B828</f>
        <v/>
      </c>
    </row>
    <row r="829">
      <c r="A829" t="inlineStr">
        <is>
          <t>96228</t>
        </is>
      </c>
      <c r="B829" t="n">
        <v>0</v>
      </c>
      <c r="C829" t="inlineStr">
        <is>
          <t>Zlatobýl kanadský nať 50g ks</t>
        </is>
      </c>
      <c r="F829" t="inlineStr">
        <is>
          <t>8594056694365</t>
        </is>
      </c>
      <c r="G829" t="n">
        <v>31.25</v>
      </c>
      <c r="H829">
        <f>G829 * B829</f>
        <v/>
      </c>
      <c r="I829" t="n">
        <v>12</v>
      </c>
      <c r="J829">
        <f>35 * B829</f>
        <v/>
      </c>
    </row>
    <row r="830">
      <c r="A830" t="inlineStr">
        <is>
          <t>96229</t>
        </is>
      </c>
      <c r="B830" t="n">
        <v>0</v>
      </c>
      <c r="C830" t="inlineStr">
        <is>
          <t>Ženšen pravý kořen 30g ks</t>
        </is>
      </c>
      <c r="F830" t="inlineStr">
        <is>
          <t>8594056696475</t>
        </is>
      </c>
      <c r="G830" t="n">
        <v>132.14</v>
      </c>
      <c r="H830">
        <f>G830 * B830</f>
        <v/>
      </c>
      <c r="I830" t="n">
        <v>12</v>
      </c>
      <c r="J830">
        <f>148 * B830</f>
        <v/>
      </c>
    </row>
    <row r="831">
      <c r="A831" s="48" t="inlineStr">
        <is>
          <t>Čaje sypané, Ovocné čaje sypané</t>
        </is>
      </c>
      <c r="B831" s="48" t="inlineStr"/>
      <c r="C831" s="48" t="inlineStr"/>
      <c r="D831" s="48" t="inlineStr"/>
      <c r="E831" s="48" t="inlineStr"/>
      <c r="F831" s="48" t="inlineStr"/>
      <c r="G831" s="48" t="inlineStr"/>
      <c r="H831" s="48" t="inlineStr"/>
      <c r="I831" s="48" t="inlineStr"/>
      <c r="J831" s="48" t="inlineStr"/>
      <c r="K831" s="48" t="n"/>
    </row>
    <row r="832">
      <c r="A832" t="inlineStr">
        <is>
          <t>90101</t>
        </is>
      </c>
      <c r="B832" t="n">
        <v>0</v>
      </c>
      <c r="C832" t="inlineStr">
        <is>
          <t>Pohádkový les 50g ks</t>
        </is>
      </c>
      <c r="F832" t="inlineStr">
        <is>
          <t>8594056691081</t>
        </is>
      </c>
      <c r="G832" t="n">
        <v>37.5</v>
      </c>
      <c r="H832">
        <f>G832 * B832</f>
        <v/>
      </c>
      <c r="I832" t="n">
        <v>12</v>
      </c>
      <c r="J832">
        <f>42 * B832</f>
        <v/>
      </c>
    </row>
    <row r="833">
      <c r="A833" t="inlineStr">
        <is>
          <t>90102</t>
        </is>
      </c>
      <c r="B833" t="n">
        <v>0</v>
      </c>
      <c r="C833" t="inlineStr">
        <is>
          <t>Sluneční pohlazení 50g ks</t>
        </is>
      </c>
      <c r="F833" t="inlineStr">
        <is>
          <t>8594056691098</t>
        </is>
      </c>
      <c r="G833" t="n">
        <v>37.5</v>
      </c>
      <c r="H833">
        <f>G833 * B833</f>
        <v/>
      </c>
      <c r="I833" t="n">
        <v>12</v>
      </c>
      <c r="J833">
        <f>42 * B833</f>
        <v/>
      </c>
    </row>
    <row r="834">
      <c r="A834" t="inlineStr">
        <is>
          <t>90103</t>
        </is>
      </c>
      <c r="B834" t="n">
        <v>0</v>
      </c>
      <c r="C834" t="inlineStr">
        <is>
          <t>Červánkový sen 50g ks</t>
        </is>
      </c>
      <c r="F834" t="inlineStr">
        <is>
          <t>8594056691104</t>
        </is>
      </c>
      <c r="G834" t="n">
        <v>37.5</v>
      </c>
      <c r="H834">
        <f>G834 * B834</f>
        <v/>
      </c>
      <c r="I834" t="n">
        <v>12</v>
      </c>
      <c r="J834">
        <f>42 * B834</f>
        <v/>
      </c>
    </row>
    <row r="835">
      <c r="A835" t="inlineStr">
        <is>
          <t>90104</t>
        </is>
      </c>
      <c r="B835" t="n">
        <v>0</v>
      </c>
      <c r="C835" t="inlineStr">
        <is>
          <t>Kouzelná noc 50g ks</t>
        </is>
      </c>
      <c r="F835" t="inlineStr">
        <is>
          <t>8594056691111</t>
        </is>
      </c>
      <c r="G835" t="n">
        <v>37.5</v>
      </c>
      <c r="H835">
        <f>G835 * B835</f>
        <v/>
      </c>
      <c r="I835" t="n">
        <v>12</v>
      </c>
      <c r="J835">
        <f>42 * B835</f>
        <v/>
      </c>
    </row>
    <row r="836">
      <c r="A836" t="inlineStr">
        <is>
          <t>90107</t>
        </is>
      </c>
      <c r="B836" t="n">
        <v>0</v>
      </c>
      <c r="C836" t="inlineStr">
        <is>
          <t>Dračí síla Goji tea 50g ks</t>
        </is>
      </c>
      <c r="F836" t="inlineStr">
        <is>
          <t>8594056696291</t>
        </is>
      </c>
      <c r="G836" t="n">
        <v>37.5</v>
      </c>
      <c r="H836">
        <f>G836 * B836</f>
        <v/>
      </c>
      <c r="I836" t="n">
        <v>12</v>
      </c>
      <c r="J836">
        <f>42 * B836</f>
        <v/>
      </c>
    </row>
    <row r="837">
      <c r="A837" t="inlineStr">
        <is>
          <t>90109</t>
        </is>
      </c>
      <c r="B837" t="n">
        <v>0</v>
      </c>
      <c r="C837" t="inlineStr">
        <is>
          <t>Casanova tea s kotvičníkem 50g ks</t>
        </is>
      </c>
      <c r="F837" t="inlineStr">
        <is>
          <t>8594056696321</t>
        </is>
      </c>
      <c r="G837" t="n">
        <v>37.5</v>
      </c>
      <c r="H837">
        <f>G837 * B837</f>
        <v/>
      </c>
      <c r="I837" t="n">
        <v>12</v>
      </c>
      <c r="J837">
        <f>42 * B837</f>
        <v/>
      </c>
    </row>
    <row r="838">
      <c r="A838" s="48" t="inlineStr">
        <is>
          <t>Čaje sypané, Zelené čaje sypané (Camellia sinensis)</t>
        </is>
      </c>
      <c r="B838" s="48" t="inlineStr"/>
      <c r="C838" s="48" t="inlineStr"/>
      <c r="D838" s="48" t="inlineStr"/>
      <c r="E838" s="48" t="inlineStr"/>
      <c r="F838" s="48" t="inlineStr"/>
      <c r="G838" s="48" t="inlineStr"/>
      <c r="H838" s="48" t="inlineStr"/>
      <c r="I838" s="48" t="inlineStr"/>
      <c r="J838" s="48" t="inlineStr"/>
      <c r="K838" s="48" t="n"/>
    </row>
    <row r="839">
      <c r="A839" t="inlineStr">
        <is>
          <t>94001</t>
        </is>
      </c>
      <c r="B839" t="n">
        <v>0</v>
      </c>
      <c r="C839" t="inlineStr">
        <is>
          <t>China Gunpowder green 70g ks</t>
        </is>
      </c>
      <c r="F839" t="inlineStr">
        <is>
          <t>8594056692187</t>
        </is>
      </c>
      <c r="G839" t="n">
        <v>41.07</v>
      </c>
      <c r="H839">
        <f>G839 * B839</f>
        <v/>
      </c>
      <c r="I839" t="n">
        <v>12</v>
      </c>
      <c r="J839">
        <f>46 * B839</f>
        <v/>
      </c>
    </row>
    <row r="840">
      <c r="A840" t="inlineStr">
        <is>
          <t>94002</t>
        </is>
      </c>
      <c r="B840" t="n">
        <v>0</v>
      </c>
      <c r="C840" t="inlineStr">
        <is>
          <t>China Gunpowder green Temple of heaven 70g ks</t>
        </is>
      </c>
      <c r="F840" t="inlineStr">
        <is>
          <t>8594056692101</t>
        </is>
      </c>
      <c r="G840" t="n">
        <v>46.43</v>
      </c>
      <c r="H840">
        <f>G840 * B840</f>
        <v/>
      </c>
      <c r="I840" t="n">
        <v>12</v>
      </c>
      <c r="J840">
        <f>52 * B840</f>
        <v/>
      </c>
    </row>
    <row r="841">
      <c r="A841" t="inlineStr">
        <is>
          <t>94003</t>
        </is>
      </c>
      <c r="B841" t="n">
        <v>0</v>
      </c>
      <c r="C841" t="inlineStr">
        <is>
          <t>China Sencha green 70g ks</t>
        </is>
      </c>
      <c r="F841" t="inlineStr">
        <is>
          <t>8594056692019</t>
        </is>
      </c>
      <c r="G841" t="n">
        <v>50</v>
      </c>
      <c r="H841">
        <f>G841 * B841</f>
        <v/>
      </c>
      <c r="I841" t="n">
        <v>12</v>
      </c>
      <c r="J841">
        <f>56 * B841</f>
        <v/>
      </c>
    </row>
    <row r="842">
      <c r="A842" t="inlineStr">
        <is>
          <t>94004</t>
        </is>
      </c>
      <c r="B842" t="n">
        <v>0</v>
      </c>
      <c r="C842" t="inlineStr">
        <is>
          <t>China Oolong Se Chung 70g ks</t>
        </is>
      </c>
      <c r="F842" t="inlineStr">
        <is>
          <t>8594056692057</t>
        </is>
      </c>
      <c r="G842" t="n">
        <v>59.82</v>
      </c>
      <c r="H842">
        <f>G842 * B842</f>
        <v/>
      </c>
      <c r="I842" t="n">
        <v>12</v>
      </c>
      <c r="J842">
        <f>67 * B842</f>
        <v/>
      </c>
    </row>
    <row r="843">
      <c r="A843" s="49" t="inlineStr">
        <is>
          <t>94005</t>
        </is>
      </c>
      <c r="B843" s="49" t="inlineStr">
        <is>
          <t>-</t>
        </is>
      </c>
      <c r="C843" s="49" t="inlineStr">
        <is>
          <t>Vietnam green OP 70g ks</t>
        </is>
      </c>
      <c r="D843" s="49" t="n"/>
      <c r="E843" s="49" t="n"/>
      <c r="F843" s="49" t="inlineStr">
        <is>
          <t>8594056692088</t>
        </is>
      </c>
      <c r="G843" s="49" t="n">
        <v>38.39</v>
      </c>
      <c r="H843" s="49" t="n"/>
      <c r="I843" s="49" t="n">
        <v>12</v>
      </c>
      <c r="J843" s="49" t="n"/>
      <c r="K843" s="49" t="n"/>
    </row>
    <row r="844">
      <c r="A844" t="inlineStr">
        <is>
          <t>94006</t>
        </is>
      </c>
      <c r="B844" t="n">
        <v>0</v>
      </c>
      <c r="C844" t="inlineStr">
        <is>
          <t>Tuareg (Gunpowder a Nana) 70g ks</t>
        </is>
      </c>
      <c r="F844" t="inlineStr">
        <is>
          <t>8594056692149</t>
        </is>
      </c>
      <c r="G844" t="n">
        <v>47.32</v>
      </c>
      <c r="H844">
        <f>G844 * B844</f>
        <v/>
      </c>
      <c r="I844" t="n">
        <v>12</v>
      </c>
      <c r="J844">
        <f>53 * B844</f>
        <v/>
      </c>
    </row>
    <row r="845">
      <c r="A845" s="49" t="inlineStr">
        <is>
          <t>94007</t>
        </is>
      </c>
      <c r="B845" s="49" t="inlineStr">
        <is>
          <t>-</t>
        </is>
      </c>
      <c r="C845" s="49" t="inlineStr">
        <is>
          <t>China Chun Mee 70g ks</t>
        </is>
      </c>
      <c r="D845" s="49" t="n"/>
      <c r="E845" s="49" t="n"/>
      <c r="F845" s="49" t="inlineStr">
        <is>
          <t>8594056692002</t>
        </is>
      </c>
      <c r="G845" s="49" t="n">
        <v>58.04</v>
      </c>
      <c r="H845" s="49" t="n"/>
      <c r="I845" s="49" t="n">
        <v>12</v>
      </c>
      <c r="J845" s="49" t="n"/>
      <c r="K845" s="49" t="n"/>
    </row>
    <row r="846">
      <c r="A846" t="inlineStr">
        <is>
          <t>94008</t>
        </is>
      </c>
      <c r="B846" t="n">
        <v>0</v>
      </c>
      <c r="C846" t="inlineStr">
        <is>
          <t>China Jasmín green speciál congou 70g ks</t>
        </is>
      </c>
      <c r="F846" t="inlineStr">
        <is>
          <t>8594056692224</t>
        </is>
      </c>
      <c r="G846" t="n">
        <v>73.20999999999999</v>
      </c>
      <c r="H846">
        <f>G846 * B846</f>
        <v/>
      </c>
      <c r="I846" t="n">
        <v>12</v>
      </c>
      <c r="J846">
        <f>82 * B846</f>
        <v/>
      </c>
    </row>
    <row r="847">
      <c r="A847" t="inlineStr">
        <is>
          <t>94009</t>
        </is>
      </c>
      <c r="B847" t="n">
        <v>0</v>
      </c>
      <c r="C847" t="inlineStr">
        <is>
          <t>China Pai mu tan (Bílá pivoňka) 30g ks</t>
        </is>
      </c>
      <c r="F847" t="inlineStr">
        <is>
          <t>8594056695737</t>
        </is>
      </c>
      <c r="G847" t="n">
        <v>50.89</v>
      </c>
      <c r="H847">
        <f>G847 * B847</f>
        <v/>
      </c>
      <c r="I847" t="n">
        <v>12</v>
      </c>
      <c r="J847">
        <f>57 * B847</f>
        <v/>
      </c>
    </row>
    <row r="848">
      <c r="A848" t="inlineStr">
        <is>
          <t>94010</t>
        </is>
      </c>
      <c r="B848" t="n">
        <v>0</v>
      </c>
      <c r="C848" t="inlineStr">
        <is>
          <t>China Gunpowder green s Ginkgem 70g ks</t>
        </is>
      </c>
      <c r="F848" t="inlineStr">
        <is>
          <t>8594056695744</t>
        </is>
      </c>
      <c r="G848" t="n">
        <v>55.36</v>
      </c>
      <c r="H848">
        <f>G848 * B848</f>
        <v/>
      </c>
      <c r="I848" t="n">
        <v>12</v>
      </c>
      <c r="J848">
        <f>62 * B848</f>
        <v/>
      </c>
    </row>
    <row r="849">
      <c r="A849" t="inlineStr">
        <is>
          <t>94011</t>
        </is>
      </c>
      <c r="B849" t="n">
        <v>0</v>
      </c>
      <c r="C849" t="inlineStr">
        <is>
          <t>China Lung ching (Dračí studna) 50g ks</t>
        </is>
      </c>
      <c r="F849" t="inlineStr">
        <is>
          <t>8594056695782</t>
        </is>
      </c>
      <c r="G849" t="n">
        <v>101.79</v>
      </c>
      <c r="H849">
        <f>G849 * B849</f>
        <v/>
      </c>
      <c r="I849" t="n">
        <v>12</v>
      </c>
      <c r="J849">
        <f>114 * B849</f>
        <v/>
      </c>
    </row>
    <row r="850">
      <c r="A850" s="49" t="inlineStr">
        <is>
          <t>94012</t>
        </is>
      </c>
      <c r="B850" s="49" t="inlineStr">
        <is>
          <t>-</t>
        </is>
      </c>
      <c r="C850" s="49" t="inlineStr">
        <is>
          <t>Ceylon green OP 70g ks</t>
        </is>
      </c>
      <c r="D850" s="49" t="n"/>
      <c r="E850" s="49" t="n"/>
      <c r="F850" s="49" t="inlineStr">
        <is>
          <t>8594056691678</t>
        </is>
      </c>
      <c r="G850" s="49" t="n">
        <v>43.75</v>
      </c>
      <c r="H850" s="49" t="n"/>
      <c r="I850" s="49" t="n">
        <v>12</v>
      </c>
      <c r="J850" s="49" t="n"/>
      <c r="K850" s="49" t="n"/>
    </row>
    <row r="851">
      <c r="A851" s="49" t="inlineStr">
        <is>
          <t>94013</t>
        </is>
      </c>
      <c r="B851" s="49" t="inlineStr">
        <is>
          <t>-</t>
        </is>
      </c>
      <c r="C851" s="49" t="inlineStr">
        <is>
          <t>Ceylon green EARLGREY OP 70g ks</t>
        </is>
      </c>
      <c r="D851" s="49" t="n"/>
      <c r="E851" s="49" t="n"/>
      <c r="F851" s="49" t="inlineStr">
        <is>
          <t>8594056691685</t>
        </is>
      </c>
      <c r="G851" s="49" t="n">
        <v>66.95999999999999</v>
      </c>
      <c r="H851" s="49" t="n"/>
      <c r="I851" s="49" t="n">
        <v>12</v>
      </c>
      <c r="J851" s="49" t="n"/>
      <c r="K851" s="49" t="n"/>
    </row>
    <row r="852">
      <c r="A852" t="inlineStr">
        <is>
          <t>94014</t>
        </is>
      </c>
      <c r="B852" t="n">
        <v>0</v>
      </c>
      <c r="C852" t="inlineStr">
        <is>
          <t>Iran OP green 70g ks</t>
        </is>
      </c>
      <c r="F852" t="inlineStr">
        <is>
          <t>8594056691692</t>
        </is>
      </c>
      <c r="G852" t="n">
        <v>37.5</v>
      </c>
      <c r="H852">
        <f>G852 * B852</f>
        <v/>
      </c>
      <c r="I852" t="n">
        <v>12</v>
      </c>
      <c r="J852">
        <f>42 * B852</f>
        <v/>
      </c>
    </row>
    <row r="853">
      <c r="A853" t="inlineStr">
        <is>
          <t>94015</t>
        </is>
      </c>
      <c r="B853" t="n">
        <v>0</v>
      </c>
      <c r="C853" t="inlineStr">
        <is>
          <t>China Yunnan green OP 70g ks</t>
        </is>
      </c>
      <c r="F853" t="inlineStr">
        <is>
          <t>8594056691708</t>
        </is>
      </c>
      <c r="G853" t="n">
        <v>37.5</v>
      </c>
      <c r="H853">
        <f>G853 * B853</f>
        <v/>
      </c>
      <c r="I853" t="n">
        <v>12</v>
      </c>
      <c r="J853">
        <f>42 * B853</f>
        <v/>
      </c>
    </row>
    <row r="854">
      <c r="A854" s="49" t="inlineStr">
        <is>
          <t>94016</t>
        </is>
      </c>
      <c r="B854" s="49" t="inlineStr">
        <is>
          <t>-</t>
        </is>
      </c>
      <c r="C854" s="49" t="inlineStr">
        <is>
          <t>Japan Bancha 50g ks</t>
        </is>
      </c>
      <c r="D854" s="49" t="n"/>
      <c r="E854" s="49" t="n"/>
      <c r="F854" s="49" t="inlineStr">
        <is>
          <t>8594056691715</t>
        </is>
      </c>
      <c r="G854" s="49" t="n">
        <v>66.95999999999999</v>
      </c>
      <c r="H854" s="49" t="n"/>
      <c r="I854" s="49" t="n">
        <v>12</v>
      </c>
      <c r="J854" s="49" t="n"/>
      <c r="K854" s="49" t="n"/>
    </row>
    <row r="855">
      <c r="A855" s="49" t="inlineStr">
        <is>
          <t>94017</t>
        </is>
      </c>
      <c r="B855" s="49" t="inlineStr">
        <is>
          <t>-</t>
        </is>
      </c>
      <c r="C855" s="49" t="inlineStr">
        <is>
          <t>Japan Genmaicha 50g ks</t>
        </is>
      </c>
      <c r="D855" s="49" t="n"/>
      <c r="E855" s="49" t="n"/>
      <c r="F855" s="49" t="inlineStr">
        <is>
          <t>8594056691722</t>
        </is>
      </c>
      <c r="G855" s="49" t="n">
        <v>86.61</v>
      </c>
      <c r="H855" s="49" t="n"/>
      <c r="I855" s="49" t="n">
        <v>12</v>
      </c>
      <c r="J855" s="49" t="n"/>
      <c r="K855" s="49" t="n"/>
    </row>
    <row r="856">
      <c r="A856" t="inlineStr">
        <is>
          <t>94018</t>
        </is>
      </c>
      <c r="B856" t="n">
        <v>0</v>
      </c>
      <c r="C856" t="inlineStr">
        <is>
          <t>Japan Sencha fukuyu 50g ks</t>
        </is>
      </c>
      <c r="F856" t="inlineStr">
        <is>
          <t>8594056691739</t>
        </is>
      </c>
      <c r="G856" t="n">
        <v>86.61</v>
      </c>
      <c r="H856">
        <f>G856 * B856</f>
        <v/>
      </c>
      <c r="I856" t="n">
        <v>12</v>
      </c>
      <c r="J856">
        <f>97 * B856</f>
        <v/>
      </c>
    </row>
    <row r="857">
      <c r="A857" t="inlineStr">
        <is>
          <t>94019</t>
        </is>
      </c>
      <c r="B857" t="n">
        <v>0</v>
      </c>
      <c r="C857" t="inlineStr">
        <is>
          <t>Ceylon Gunpowder extra speciál green OP 50g ks</t>
        </is>
      </c>
      <c r="F857" t="inlineStr">
        <is>
          <t>8594056691746</t>
        </is>
      </c>
      <c r="G857" t="n">
        <v>49.11</v>
      </c>
      <c r="H857">
        <f>G857 * B857</f>
        <v/>
      </c>
      <c r="I857" t="n">
        <v>12</v>
      </c>
      <c r="J857">
        <f>55 * B857</f>
        <v/>
      </c>
    </row>
    <row r="858">
      <c r="A858" s="48" t="inlineStr">
        <is>
          <t>Čaje sypané, Černé čaje sypané (Camellia sinensis)</t>
        </is>
      </c>
      <c r="B858" s="48" t="inlineStr"/>
      <c r="C858" s="48" t="inlineStr"/>
      <c r="D858" s="48" t="inlineStr"/>
      <c r="E858" s="48" t="inlineStr"/>
      <c r="F858" s="48" t="inlineStr"/>
      <c r="G858" s="48" t="inlineStr"/>
      <c r="H858" s="48" t="inlineStr"/>
      <c r="I858" s="48" t="inlineStr"/>
      <c r="J858" s="48" t="inlineStr"/>
      <c r="K858" s="48" t="n"/>
    </row>
    <row r="859">
      <c r="A859" t="inlineStr">
        <is>
          <t>94101</t>
        </is>
      </c>
      <c r="B859" t="n">
        <v>0</v>
      </c>
      <c r="C859" t="inlineStr">
        <is>
          <t>China Pu-erh black OP 70g ks</t>
        </is>
      </c>
      <c r="F859" t="inlineStr">
        <is>
          <t>8594056692040</t>
        </is>
      </c>
      <c r="G859" t="n">
        <v>56.25</v>
      </c>
      <c r="H859">
        <f>G859 * B859</f>
        <v/>
      </c>
      <c r="I859" t="n">
        <v>12</v>
      </c>
      <c r="J859">
        <f>63 * B859</f>
        <v/>
      </c>
    </row>
    <row r="860">
      <c r="A860" t="inlineStr">
        <is>
          <t>94102</t>
        </is>
      </c>
      <c r="B860" t="n">
        <v>0</v>
      </c>
      <c r="C860" t="inlineStr">
        <is>
          <t>China Jasmín black speciál 70g ks</t>
        </is>
      </c>
      <c r="F860" t="inlineStr">
        <is>
          <t>8594056692071</t>
        </is>
      </c>
      <c r="G860" t="n">
        <v>42.86</v>
      </c>
      <c r="H860">
        <f>G860 * B860</f>
        <v/>
      </c>
      <c r="I860" t="n">
        <v>12</v>
      </c>
      <c r="J860">
        <f>48 * B860</f>
        <v/>
      </c>
    </row>
    <row r="861">
      <c r="A861" t="inlineStr">
        <is>
          <t>94104</t>
        </is>
      </c>
      <c r="B861" t="n">
        <v>0</v>
      </c>
      <c r="C861" t="inlineStr">
        <is>
          <t>China Yunnan black FOP 70g ks</t>
        </is>
      </c>
      <c r="F861" t="inlineStr">
        <is>
          <t>8594056692194</t>
        </is>
      </c>
      <c r="G861" t="n">
        <v>37.5</v>
      </c>
      <c r="H861">
        <f>G861 * B861</f>
        <v/>
      </c>
      <c r="I861" t="n">
        <v>12</v>
      </c>
      <c r="J861">
        <f>42 * B861</f>
        <v/>
      </c>
    </row>
    <row r="862">
      <c r="A862" t="inlineStr">
        <is>
          <t>94105</t>
        </is>
      </c>
      <c r="B862" t="n">
        <v>0</v>
      </c>
      <c r="C862" t="inlineStr">
        <is>
          <t>China Keemun black OP 70g ks</t>
        </is>
      </c>
      <c r="F862" t="inlineStr">
        <is>
          <t>8594056692200</t>
        </is>
      </c>
      <c r="G862" t="n">
        <v>49.11</v>
      </c>
      <c r="H862">
        <f>G862 * B862</f>
        <v/>
      </c>
      <c r="I862" t="n">
        <v>12</v>
      </c>
      <c r="J862">
        <f>55 * B862</f>
        <v/>
      </c>
    </row>
    <row r="863">
      <c r="A863" t="inlineStr">
        <is>
          <t>94106</t>
        </is>
      </c>
      <c r="B863" t="n">
        <v>0</v>
      </c>
      <c r="C863" t="inlineStr">
        <is>
          <t>Ceylon black OP 70g ks</t>
        </is>
      </c>
      <c r="F863" t="inlineStr">
        <is>
          <t>8594056692217</t>
        </is>
      </c>
      <c r="G863" t="n">
        <v>53.57</v>
      </c>
      <c r="H863">
        <f>G863 * B863</f>
        <v/>
      </c>
      <c r="I863" t="n">
        <v>12</v>
      </c>
      <c r="J863">
        <f>60 * B863</f>
        <v/>
      </c>
    </row>
    <row r="864">
      <c r="A864" t="inlineStr">
        <is>
          <t>94107</t>
        </is>
      </c>
      <c r="B864" t="n">
        <v>0</v>
      </c>
      <c r="C864" t="inlineStr">
        <is>
          <t>Gruzínský black 70g ks</t>
        </is>
      </c>
      <c r="F864" t="inlineStr">
        <is>
          <t>8594056692156</t>
        </is>
      </c>
      <c r="G864" t="n">
        <v>34.82</v>
      </c>
      <c r="H864">
        <f>G864 * B864</f>
        <v/>
      </c>
      <c r="I864" t="n">
        <v>12</v>
      </c>
      <c r="J864">
        <f>39 * B864</f>
        <v/>
      </c>
    </row>
    <row r="865">
      <c r="A865" t="inlineStr">
        <is>
          <t>94108</t>
        </is>
      </c>
      <c r="B865" t="n">
        <v>0</v>
      </c>
      <c r="C865" t="inlineStr">
        <is>
          <t>Ruský CTC black 70g ks</t>
        </is>
      </c>
      <c r="F865" t="inlineStr">
        <is>
          <t>8594056692163</t>
        </is>
      </c>
      <c r="G865" t="n">
        <v>34.82</v>
      </c>
      <c r="H865">
        <f>G865 * B865</f>
        <v/>
      </c>
      <c r="I865" t="n">
        <v>12</v>
      </c>
      <c r="J865">
        <f>39 * B865</f>
        <v/>
      </c>
    </row>
    <row r="866">
      <c r="A866" t="inlineStr">
        <is>
          <t>94109</t>
        </is>
      </c>
      <c r="B866" t="n">
        <v>0</v>
      </c>
      <c r="C866" t="inlineStr">
        <is>
          <t>China Lapsang Souchong black (Kouřový čaj) 50g ks</t>
        </is>
      </c>
      <c r="F866" t="inlineStr">
        <is>
          <t>8594056695799</t>
        </is>
      </c>
      <c r="G866" t="n">
        <v>53.57</v>
      </c>
      <c r="H866">
        <f>G866 * B866</f>
        <v/>
      </c>
      <c r="I866" t="n">
        <v>12</v>
      </c>
      <c r="J866">
        <f>60 * B866</f>
        <v/>
      </c>
    </row>
    <row r="867">
      <c r="A867" t="inlineStr">
        <is>
          <t>94110</t>
        </is>
      </c>
      <c r="B867" t="n">
        <v>0</v>
      </c>
      <c r="C867" t="inlineStr">
        <is>
          <t>India Assam black TGFOPI 50g ks</t>
        </is>
      </c>
      <c r="F867" t="inlineStr">
        <is>
          <t>8594056696109</t>
        </is>
      </c>
      <c r="G867" t="n">
        <v>41.96</v>
      </c>
      <c r="H867">
        <f>G867 * B867</f>
        <v/>
      </c>
      <c r="I867" t="n">
        <v>12</v>
      </c>
      <c r="J867">
        <f>47 * B867</f>
        <v/>
      </c>
    </row>
    <row r="868">
      <c r="A868" s="49" t="inlineStr">
        <is>
          <t>94111</t>
        </is>
      </c>
      <c r="B868" s="49" t="inlineStr">
        <is>
          <t>-</t>
        </is>
      </c>
      <c r="C868" s="49" t="inlineStr">
        <is>
          <t>India Darjeeling black FTGFOPI 50g ks</t>
        </is>
      </c>
      <c r="D868" s="49" t="n"/>
      <c r="E868" s="49" t="n"/>
      <c r="F868" s="49" t="inlineStr">
        <is>
          <t>8594056696116</t>
        </is>
      </c>
      <c r="G868" s="49" t="n">
        <v>49.11</v>
      </c>
      <c r="H868" s="49" t="n"/>
      <c r="I868" s="49" t="n">
        <v>12</v>
      </c>
      <c r="J868" s="49" t="n"/>
      <c r="K868" s="49" t="n"/>
    </row>
    <row r="869">
      <c r="A869" t="inlineStr">
        <is>
          <t>94112</t>
        </is>
      </c>
      <c r="B869" t="n">
        <v>0</v>
      </c>
      <c r="C869" t="inlineStr">
        <is>
          <t>Vietnam black OP 70g ks</t>
        </is>
      </c>
      <c r="F869" t="inlineStr">
        <is>
          <t>8594056696123</t>
        </is>
      </c>
      <c r="G869" t="n">
        <v>35.71</v>
      </c>
      <c r="H869">
        <f>G869 * B869</f>
        <v/>
      </c>
      <c r="I869" t="n">
        <v>12</v>
      </c>
      <c r="J869">
        <f>40 * B869</f>
        <v/>
      </c>
    </row>
    <row r="870">
      <c r="A870" s="49" t="inlineStr">
        <is>
          <t>94113</t>
        </is>
      </c>
      <c r="B870" s="49" t="inlineStr">
        <is>
          <t>-</t>
        </is>
      </c>
      <c r="C870" s="49" t="inlineStr">
        <is>
          <t>Ceylon black EARLGREY OP 70g ks</t>
        </is>
      </c>
      <c r="D870" s="49" t="n"/>
      <c r="E870" s="49" t="n"/>
      <c r="F870" s="49" t="inlineStr">
        <is>
          <t>8594056691654</t>
        </is>
      </c>
      <c r="G870" s="49" t="n">
        <v>70.54000000000001</v>
      </c>
      <c r="H870" s="49" t="n"/>
      <c r="I870" s="49" t="n">
        <v>12</v>
      </c>
      <c r="J870" s="49" t="n"/>
      <c r="K870" s="49" t="n"/>
    </row>
    <row r="871">
      <c r="A871" t="inlineStr">
        <is>
          <t>94114</t>
        </is>
      </c>
      <c r="B871" t="n">
        <v>0</v>
      </c>
      <c r="C871" t="inlineStr">
        <is>
          <t>Iran OP black 70g ks</t>
        </is>
      </c>
      <c r="F871" t="inlineStr">
        <is>
          <t>8594056691661</t>
        </is>
      </c>
      <c r="G871" t="n">
        <v>37.5</v>
      </c>
      <c r="H871">
        <f>G871 * B871</f>
        <v/>
      </c>
      <c r="I871" t="n">
        <v>12</v>
      </c>
      <c r="J871">
        <f>42 * B871</f>
        <v/>
      </c>
    </row>
  </sheetData>
  <mergeCells count="2">
    <mergeCell ref="F2:K2"/>
    <mergeCell ref="C3:E3"/>
  </mergeCells>
  <printOptions horizontalCentered="0" verticalCentered="0" headings="0" gridLines="0" gridLinesSet="1"/>
  <pageMargins left="0.236111111111111" right="0.236111111111111" top="0.275694444444444" bottom="0.157638888888889" header="0.511811023622047" footer="0.511811023622047"/>
  <pageSetup orientation="portrait" paperSize="9" scale="70" fitToHeight="1" fitToWidth="1" pageOrder="downThenOver" blackAndWhite="0" draft="0" horizontalDpi="300" verticalDpi="300" copies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Iva Hloušková</dc:creator>
  <dc:language xmlns:dc="http://purl.org/dc/elements/1.1/">cs-CZ</dc:language>
  <dcterms:created xmlns:dcterms="http://purl.org/dc/terms/" xmlns:xsi="http://www.w3.org/2001/XMLSchema-instance" xsi:type="dcterms:W3CDTF">2011-06-07T17:15:35Z</dcterms:created>
  <dcterms:modified xmlns:dcterms="http://purl.org/dc/terms/" xmlns:xsi="http://www.w3.org/2001/XMLSchema-instance" xsi:type="dcterms:W3CDTF">2024-12-26T10:03:21Z</dcterms:modified>
  <cp:revision>9</cp:revision>
  <cp:lastPrinted>2014-01-15T16:04:53Z</cp:lastPrinted>
</cp:coreProperties>
</file>

<file path=docProps/custom.xml><?xml version="1.0" encoding="utf-8"?>
<Properties xmlns="http://schemas.openxmlformats.org/officeDocument/2006/custom-properties">
  <property name="Generator" fmtid="{D5CDD505-2E9C-101B-9397-08002B2CF9AE}" pid="2">
    <vt:lpwstr xmlns:vt="http://schemas.openxmlformats.org/officeDocument/2006/docPropsVTypes">NPOI</vt:lpwstr>
  </property>
  <property name="Generator Version" fmtid="{D5CDD505-2E9C-101B-9397-08002B2CF9AE}" pid="3">
    <vt:lpwstr xmlns:vt="http://schemas.openxmlformats.org/officeDocument/2006/docPropsVTypes">2.1.1</vt:lpwstr>
  </property>
</Properties>
</file>